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 codeName="{51196F13-6AD0-C1B8-E2B4-A1F9AE17003E}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B3012FIL002.bve.be.ch\KWP_UserData\UserHomes\mkrz\Z_Systems\RedirectedFolders\Documents\CMIAXIOMA\d9460ae5d4d642c0b2e34a539f9213f8\"/>
    </mc:Choice>
  </mc:AlternateContent>
  <bookViews>
    <workbookView xWindow="-120" yWindow="-120" windowWidth="29040" windowHeight="15840"/>
  </bookViews>
  <sheets>
    <sheet name="Tabelle1" sheetId="1" r:id="rId1"/>
    <sheet name="Tabelle2" sheetId="2" r:id="rId2"/>
  </sheets>
  <definedNames>
    <definedName name="_xlnm._FilterDatabase" localSheetId="0" hidden="1">Tabelle1!$C$181:$C$185</definedName>
    <definedName name="_xlnm.Print_Area" localSheetId="0">Tabelle1!$A$1:$N$178</definedName>
    <definedName name="Lagerdauer">Tabelle1!$C$181:$C$185</definedName>
    <definedName name="Z_89661B01_CAAB_482C_82D9_4F70D9977123_.wvu.PrintArea" localSheetId="0" hidden="1">Tabelle1!$A$1:$N$171</definedName>
  </definedNames>
  <calcPr calcId="162913"/>
  <customWorkbookViews>
    <customWorkbookView name="Markus Carisch - Persönliche Ansicht" guid="{89661B01-CAAB-482C-82D9-4F70D9977123}" mergeInterval="0" personalView="1" maximized="1" windowWidth="1276" windowHeight="859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63" i="1" l="1"/>
  <c r="L60" i="1"/>
  <c r="O114" i="1" l="1"/>
  <c r="O119" i="1"/>
  <c r="O118" i="1"/>
  <c r="O117" i="1"/>
  <c r="O116" i="1"/>
  <c r="M114" i="1"/>
  <c r="F62" i="1" l="1"/>
  <c r="F59" i="1"/>
  <c r="F60" i="1"/>
  <c r="F61" i="1"/>
  <c r="F41" i="1"/>
  <c r="F34" i="1"/>
  <c r="F33" i="1"/>
  <c r="O42" i="1"/>
  <c r="M42" i="1" s="1"/>
  <c r="O41" i="1"/>
  <c r="M41" i="1" s="1"/>
  <c r="O40" i="1"/>
  <c r="M40" i="1" s="1"/>
  <c r="O39" i="1"/>
  <c r="M39" i="1" s="1"/>
  <c r="O38" i="1"/>
  <c r="M38" i="1" s="1"/>
  <c r="F38" i="1" l="1"/>
  <c r="F42" i="1"/>
  <c r="F40" i="1"/>
  <c r="F39" i="1"/>
  <c r="R136" i="1"/>
  <c r="R135" i="1"/>
  <c r="R134" i="1"/>
  <c r="R133" i="1"/>
  <c r="M13" i="1"/>
  <c r="S136" i="1" l="1"/>
  <c r="F43" i="1"/>
  <c r="G92" i="1" s="1"/>
  <c r="M43" i="1"/>
  <c r="L104" i="1"/>
  <c r="L136" i="1"/>
  <c r="L45" i="1"/>
  <c r="Q104" i="1" l="1"/>
  <c r="P136" i="1"/>
  <c r="L135" i="1"/>
  <c r="P135" i="1" s="1"/>
  <c r="L134" i="1"/>
  <c r="L133" i="1"/>
  <c r="P133" i="1" s="1"/>
  <c r="R129" i="1"/>
  <c r="S129" i="1" s="1"/>
  <c r="R128" i="1"/>
  <c r="S128" i="1" s="1"/>
  <c r="R127" i="1"/>
  <c r="S127" i="1" s="1"/>
  <c r="R126" i="1"/>
  <c r="S126" i="1" s="1"/>
  <c r="R125" i="1"/>
  <c r="S125" i="1" s="1"/>
  <c r="R124" i="1"/>
  <c r="S124" i="1" s="1"/>
  <c r="P129" i="1"/>
  <c r="U129" i="1" s="1"/>
  <c r="P128" i="1"/>
  <c r="U128" i="1" s="1"/>
  <c r="P127" i="1"/>
  <c r="U127" i="1" s="1"/>
  <c r="P126" i="1"/>
  <c r="U126" i="1" s="1"/>
  <c r="P125" i="1"/>
  <c r="U125" i="1" s="1"/>
  <c r="P124" i="1"/>
  <c r="U124" i="1" s="1"/>
  <c r="N108" i="1"/>
  <c r="N107" i="1"/>
  <c r="N106" i="1"/>
  <c r="N105" i="1"/>
  <c r="F72" i="1"/>
  <c r="F71" i="1"/>
  <c r="G155" i="1" l="1"/>
  <c r="P134" i="1"/>
  <c r="M154" i="1" s="1"/>
  <c r="W126" i="1"/>
  <c r="L126" i="1" s="1"/>
  <c r="W124" i="1"/>
  <c r="L124" i="1" s="1"/>
  <c r="W128" i="1"/>
  <c r="L128" i="1" s="1"/>
  <c r="W129" i="1"/>
  <c r="L129" i="1" s="1"/>
  <c r="W125" i="1"/>
  <c r="L125" i="1" s="1"/>
  <c r="W127" i="1"/>
  <c r="L127" i="1" s="1"/>
  <c r="M150" i="1" l="1"/>
  <c r="F63" i="1"/>
  <c r="F28" i="1" l="1"/>
  <c r="L62" i="1" l="1"/>
  <c r="L61" i="1"/>
  <c r="L59" i="1"/>
  <c r="O94" i="1" s="1"/>
  <c r="L55" i="1"/>
  <c r="L54" i="1"/>
  <c r="L53" i="1"/>
  <c r="L52" i="1"/>
  <c r="L51" i="1"/>
  <c r="L50" i="1"/>
  <c r="R94" i="1" l="1"/>
  <c r="N103" i="1" s="1"/>
  <c r="F94" i="1"/>
  <c r="F93" i="1"/>
  <c r="O93" i="1"/>
  <c r="N101" i="1" s="1"/>
  <c r="O108" i="1"/>
  <c r="O107" i="1"/>
  <c r="O106" i="1"/>
  <c r="O105" i="1"/>
  <c r="M119" i="1" l="1"/>
  <c r="O83" i="1" l="1"/>
  <c r="M83" i="1" s="1"/>
  <c r="O82" i="1"/>
  <c r="M82" i="1" s="1"/>
  <c r="O81" i="1"/>
  <c r="M81" i="1" s="1"/>
  <c r="O80" i="1"/>
  <c r="M80" i="1" s="1"/>
  <c r="O79" i="1"/>
  <c r="M79" i="1" s="1"/>
  <c r="O78" i="1"/>
  <c r="M78" i="1" s="1"/>
  <c r="O77" i="1"/>
  <c r="M77" i="1" s="1"/>
  <c r="O76" i="1"/>
  <c r="M76" i="1" s="1"/>
  <c r="M118" i="1" l="1"/>
  <c r="M117" i="1"/>
  <c r="M116" i="1"/>
  <c r="F26" i="1" l="1"/>
  <c r="M15" i="1" l="1"/>
  <c r="M14" i="1"/>
  <c r="M22" i="1"/>
  <c r="R22" i="1" s="1"/>
  <c r="M21" i="1"/>
  <c r="R21" i="1" s="1"/>
  <c r="M20" i="1"/>
  <c r="R20" i="1" s="1"/>
  <c r="M19" i="1"/>
  <c r="R19" i="1" s="1"/>
  <c r="M18" i="1"/>
  <c r="O115" i="1"/>
  <c r="M115" i="1" s="1"/>
  <c r="M120" i="1" s="1"/>
  <c r="G145" i="1" s="1"/>
  <c r="L138" i="1"/>
  <c r="L87" i="1"/>
  <c r="Q72" i="1"/>
  <c r="M72" i="1" s="1"/>
  <c r="O72" i="1"/>
  <c r="N72" i="1" s="1"/>
  <c r="O71" i="1"/>
  <c r="N71" i="1" s="1"/>
  <c r="O70" i="1"/>
  <c r="N70" i="1" s="1"/>
  <c r="O69" i="1"/>
  <c r="N69" i="1" s="1"/>
  <c r="O68" i="1"/>
  <c r="N68" i="1" s="1"/>
  <c r="Q71" i="1"/>
  <c r="M71" i="1" s="1"/>
  <c r="Q70" i="1"/>
  <c r="M70" i="1" s="1"/>
  <c r="Q69" i="1"/>
  <c r="M69" i="1" s="1"/>
  <c r="Q68" i="1"/>
  <c r="M68" i="1" s="1"/>
  <c r="Q67" i="1"/>
  <c r="M67" i="1" s="1"/>
  <c r="O67" i="1"/>
  <c r="N67" i="1" s="1"/>
  <c r="F83" i="1"/>
  <c r="F82" i="1"/>
  <c r="F81" i="1"/>
  <c r="F80" i="1"/>
  <c r="F77" i="1"/>
  <c r="F76" i="1"/>
  <c r="F79" i="1"/>
  <c r="F78" i="1"/>
  <c r="F68" i="1"/>
  <c r="V63" i="1"/>
  <c r="M63" i="1" s="1"/>
  <c r="V62" i="1"/>
  <c r="M62" i="1" s="1"/>
  <c r="V61" i="1"/>
  <c r="M61" i="1" s="1"/>
  <c r="V60" i="1"/>
  <c r="T60" i="1"/>
  <c r="Q63" i="1"/>
  <c r="N63" i="1" s="1"/>
  <c r="Q62" i="1"/>
  <c r="N62" i="1" s="1"/>
  <c r="Q61" i="1"/>
  <c r="N61" i="1" s="1"/>
  <c r="Q60" i="1"/>
  <c r="O60" i="1"/>
  <c r="V59" i="1"/>
  <c r="T59" i="1"/>
  <c r="Q59" i="1"/>
  <c r="O59" i="1"/>
  <c r="AC55" i="1"/>
  <c r="AC54" i="1"/>
  <c r="AC53" i="1"/>
  <c r="AC52" i="1"/>
  <c r="AC51" i="1"/>
  <c r="AC50" i="1"/>
  <c r="Z55" i="1"/>
  <c r="Z54" i="1"/>
  <c r="Z53" i="1"/>
  <c r="Z52" i="1"/>
  <c r="Z51" i="1"/>
  <c r="Z50" i="1"/>
  <c r="V55" i="1"/>
  <c r="V54" i="1"/>
  <c r="V53" i="1"/>
  <c r="V52" i="1"/>
  <c r="V51" i="1"/>
  <c r="V50" i="1"/>
  <c r="R55" i="1"/>
  <c r="R54" i="1"/>
  <c r="R53" i="1"/>
  <c r="R52" i="1"/>
  <c r="R51" i="1"/>
  <c r="R50" i="1"/>
  <c r="Y55" i="1"/>
  <c r="Y54" i="1"/>
  <c r="Y53" i="1"/>
  <c r="Y52" i="1"/>
  <c r="Y51" i="1"/>
  <c r="Y50" i="1"/>
  <c r="U55" i="1"/>
  <c r="U54" i="1"/>
  <c r="U53" i="1"/>
  <c r="U52" i="1"/>
  <c r="U51" i="1"/>
  <c r="U50" i="1"/>
  <c r="Q55" i="1"/>
  <c r="Q54" i="1"/>
  <c r="Q53" i="1"/>
  <c r="Q52" i="1"/>
  <c r="Q51" i="1"/>
  <c r="Q50" i="1"/>
  <c r="O55" i="1"/>
  <c r="O54" i="1"/>
  <c r="O53" i="1"/>
  <c r="O52" i="1"/>
  <c r="O51" i="1"/>
  <c r="O50" i="1"/>
  <c r="K33" i="1"/>
  <c r="AC33" i="1" s="1"/>
  <c r="N33" i="1" s="1"/>
  <c r="AC34" i="1"/>
  <c r="AC32" i="1"/>
  <c r="AC31" i="1"/>
  <c r="AC30" i="1"/>
  <c r="AC29" i="1"/>
  <c r="AC28" i="1"/>
  <c r="AC27" i="1"/>
  <c r="Z34" i="1"/>
  <c r="Z32" i="1"/>
  <c r="Z31" i="1"/>
  <c r="Z30" i="1"/>
  <c r="Z29" i="1"/>
  <c r="Z27" i="1"/>
  <c r="V34" i="1"/>
  <c r="V32" i="1"/>
  <c r="V31" i="1"/>
  <c r="V30" i="1"/>
  <c r="V29" i="1"/>
  <c r="V28" i="1"/>
  <c r="V27" i="1"/>
  <c r="R34" i="1"/>
  <c r="R32" i="1"/>
  <c r="R31" i="1"/>
  <c r="R30" i="1"/>
  <c r="R29" i="1"/>
  <c r="R27" i="1"/>
  <c r="Y34" i="1"/>
  <c r="Y32" i="1"/>
  <c r="Y31" i="1"/>
  <c r="Y30" i="1"/>
  <c r="Y29" i="1"/>
  <c r="Y27" i="1"/>
  <c r="U34" i="1"/>
  <c r="U32" i="1"/>
  <c r="U31" i="1"/>
  <c r="U30" i="1"/>
  <c r="U29" i="1"/>
  <c r="U28" i="1"/>
  <c r="M28" i="1" s="1"/>
  <c r="U27" i="1"/>
  <c r="Q34" i="1"/>
  <c r="Q32" i="1"/>
  <c r="Q31" i="1"/>
  <c r="Q30" i="1"/>
  <c r="Q29" i="1"/>
  <c r="Q27" i="1"/>
  <c r="O34" i="1"/>
  <c r="O32" i="1"/>
  <c r="O31" i="1"/>
  <c r="O30" i="1"/>
  <c r="O29" i="1"/>
  <c r="O27" i="1"/>
  <c r="R26" i="1"/>
  <c r="AC26" i="1"/>
  <c r="Z26" i="1"/>
  <c r="V26" i="1"/>
  <c r="Y26" i="1"/>
  <c r="U26" i="1"/>
  <c r="Q26" i="1"/>
  <c r="O26" i="1"/>
  <c r="Q18" i="1"/>
  <c r="Q19" i="1"/>
  <c r="Q20" i="1"/>
  <c r="Q21" i="1"/>
  <c r="Q22" i="1"/>
  <c r="F27" i="1"/>
  <c r="F29" i="1"/>
  <c r="F30" i="1"/>
  <c r="F31" i="1"/>
  <c r="F32" i="1"/>
  <c r="F50" i="1"/>
  <c r="F51" i="1"/>
  <c r="F52" i="1"/>
  <c r="F53" i="1"/>
  <c r="F54" i="1"/>
  <c r="F55" i="1"/>
  <c r="F67" i="1"/>
  <c r="F69" i="1"/>
  <c r="F70" i="1"/>
  <c r="N104" i="1"/>
  <c r="N109" i="1"/>
  <c r="N59" i="1" l="1"/>
  <c r="N60" i="1"/>
  <c r="O95" i="1"/>
  <c r="G142" i="1"/>
  <c r="G143" i="1"/>
  <c r="M59" i="1"/>
  <c r="M34" i="1"/>
  <c r="N32" i="1"/>
  <c r="M52" i="1"/>
  <c r="M53" i="1"/>
  <c r="N34" i="1"/>
  <c r="N27" i="1"/>
  <c r="M30" i="1"/>
  <c r="N29" i="1"/>
  <c r="M31" i="1"/>
  <c r="N30" i="1"/>
  <c r="M32" i="1"/>
  <c r="N31" i="1"/>
  <c r="M50" i="1"/>
  <c r="M51" i="1"/>
  <c r="N51" i="1"/>
  <c r="M60" i="1"/>
  <c r="N26" i="1"/>
  <c r="M26" i="1"/>
  <c r="M27" i="1"/>
  <c r="N28" i="1"/>
  <c r="N52" i="1"/>
  <c r="M29" i="1"/>
  <c r="N54" i="1"/>
  <c r="M54" i="1"/>
  <c r="N55" i="1"/>
  <c r="M55" i="1"/>
  <c r="N53" i="1"/>
  <c r="N50" i="1"/>
  <c r="O104" i="1"/>
  <c r="M84" i="1"/>
  <c r="N96" i="1" s="1"/>
  <c r="F92" i="1"/>
  <c r="O92" i="1" s="1"/>
  <c r="F64" i="1"/>
  <c r="G94" i="1" s="1"/>
  <c r="M73" i="1"/>
  <c r="M95" i="1" s="1"/>
  <c r="F73" i="1"/>
  <c r="F35" i="1"/>
  <c r="F84" i="1"/>
  <c r="N73" i="1"/>
  <c r="N95" i="1" s="1"/>
  <c r="F56" i="1"/>
  <c r="G93" i="1" s="1"/>
  <c r="Q24" i="1"/>
  <c r="N92" i="1"/>
  <c r="R18" i="1"/>
  <c r="R24" i="1" s="1"/>
  <c r="N64" i="1" l="1"/>
  <c r="N94" i="1" s="1"/>
  <c r="F96" i="1"/>
  <c r="O96" i="1" s="1"/>
  <c r="G96" i="1"/>
  <c r="F95" i="1"/>
  <c r="G95" i="1"/>
  <c r="F91" i="1"/>
  <c r="O91" i="1" s="1"/>
  <c r="N100" i="1" s="1"/>
  <c r="G91" i="1"/>
  <c r="N102" i="1"/>
  <c r="M111" i="1" s="1"/>
  <c r="G144" i="1" s="1"/>
  <c r="M64" i="1"/>
  <c r="M56" i="1"/>
  <c r="M93" i="1" s="1"/>
  <c r="S24" i="1"/>
  <c r="M35" i="1"/>
  <c r="M91" i="1" s="1"/>
  <c r="N56" i="1"/>
  <c r="N93" i="1" s="1"/>
  <c r="N35" i="1"/>
  <c r="N91" i="1" s="1"/>
  <c r="G97" i="1" l="1"/>
  <c r="M94" i="1"/>
  <c r="M97" i="1" s="1"/>
  <c r="G146" i="1" s="1"/>
  <c r="N146" i="1" s="1"/>
  <c r="N97" i="1"/>
  <c r="G154" i="1" s="1"/>
  <c r="G147" i="1" l="1"/>
  <c r="G150" i="1" s="1"/>
  <c r="M151" i="1" s="1"/>
  <c r="M155" i="1"/>
  <c r="M156" i="1" s="1"/>
  <c r="P155" i="1" l="1"/>
</calcChain>
</file>

<file path=xl/comments1.xml><?xml version="1.0" encoding="utf-8"?>
<comments xmlns="http://schemas.openxmlformats.org/spreadsheetml/2006/main">
  <authors>
    <author>Carisch Markus, BVE-AWA-SWW-GE</author>
    <author>Markus Carisch</author>
  </authors>
  <commentList>
    <comment ref="E18" authorId="0" shapeId="0">
      <text>
        <r>
          <rPr>
            <sz val="9"/>
            <color indexed="81"/>
            <rFont val="Tahoma"/>
            <family val="2"/>
          </rPr>
          <t xml:space="preserve">Für die Berechnung müssen alle drei Felder, Anzahl Bett/Sitzplätze, Anzahl Tage und Belegung in %  ausgefüllt werden! 
</t>
        </r>
        <r>
          <rPr>
            <b/>
            <sz val="9"/>
            <color indexed="81"/>
            <rFont val="Tahoma"/>
            <family val="2"/>
          </rPr>
          <t>Hinweis:</t>
        </r>
        <r>
          <rPr>
            <sz val="9"/>
            <color indexed="81"/>
            <rFont val="Tahoma"/>
            <family val="2"/>
          </rPr>
          <t xml:space="preserve">
Bei "Nutzung im Sommer" hat die Abwassermenge einen Einfluss auf die Verdünnung der Gülle und nicht auf das Güllegrubenvolumen! 
(Aus diesem Grund bleibt das Resultat 0)</t>
        </r>
      </text>
    </comment>
    <comment ref="G25" authorId="1" shapeId="0">
      <text>
        <r>
          <rPr>
            <sz val="8"/>
            <color indexed="81"/>
            <rFont val="Tahoma"/>
            <family val="2"/>
          </rPr>
          <t>Schwemmentmistung, Vollgülle</t>
        </r>
      </text>
    </comment>
    <comment ref="H25" authorId="1" shapeId="0">
      <text>
        <r>
          <rPr>
            <sz val="8"/>
            <color indexed="81"/>
            <rFont val="Tahoma"/>
            <family val="2"/>
          </rPr>
          <t>Laufstallmist und viel Gülle, 10-40% eingestreut</t>
        </r>
      </text>
    </comment>
    <comment ref="I25" authorId="1" shapeId="0">
      <text>
        <r>
          <rPr>
            <sz val="8"/>
            <color indexed="81"/>
            <rFont val="Tahoma"/>
            <family val="2"/>
          </rPr>
          <t>Laufstallmist und Gülle, 40-60% eingestreut</t>
        </r>
      </text>
    </comment>
    <comment ref="J25" authorId="1" shapeId="0">
      <text>
        <r>
          <rPr>
            <sz val="8"/>
            <color indexed="81"/>
            <rFont val="Tahoma"/>
            <family val="2"/>
          </rPr>
          <t>Laufstallmist und wenig Vollgülle, 60-90% eingestreut</t>
        </r>
      </text>
    </comment>
    <comment ref="K25" authorId="1" shapeId="0">
      <text>
        <r>
          <rPr>
            <sz val="8"/>
            <color indexed="81"/>
            <rFont val="Tahoma"/>
            <family val="2"/>
          </rPr>
          <t>Laufstallmist</t>
        </r>
      </text>
    </comment>
    <comment ref="L25" authorId="1" shapeId="0">
      <text>
        <r>
          <rPr>
            <sz val="8"/>
            <color indexed="81"/>
            <rFont val="Tahoma"/>
            <family val="2"/>
          </rPr>
          <t>Unterstand ohne Einstreue</t>
        </r>
      </text>
    </comment>
    <comment ref="G49" authorId="1" shapeId="0">
      <text>
        <r>
          <rPr>
            <sz val="8"/>
            <color indexed="81"/>
            <rFont val="Tahoma"/>
            <family val="2"/>
          </rPr>
          <t>Schwemmentmistung, nur Gülle</t>
        </r>
      </text>
    </comment>
    <comment ref="H49" authorId="1" shapeId="0">
      <text>
        <r>
          <rPr>
            <sz val="8"/>
            <color indexed="81"/>
            <rFont val="Tahoma"/>
            <family val="2"/>
          </rPr>
          <t>10-40% eingestreut</t>
        </r>
      </text>
    </comment>
    <comment ref="I49" authorId="1" shapeId="0">
      <text>
        <r>
          <rPr>
            <sz val="8"/>
            <color indexed="81"/>
            <rFont val="Tahoma"/>
            <family val="2"/>
          </rPr>
          <t>40-60% eingestreut</t>
        </r>
      </text>
    </comment>
    <comment ref="J49" authorId="1" shapeId="0">
      <text>
        <r>
          <rPr>
            <sz val="8"/>
            <color indexed="81"/>
            <rFont val="Tahoma"/>
            <family val="2"/>
          </rPr>
          <t>60-90% eingestreut</t>
        </r>
      </text>
    </comment>
    <comment ref="K49" authorId="1" shapeId="0">
      <text>
        <r>
          <rPr>
            <sz val="8"/>
            <color indexed="81"/>
            <rFont val="Tahoma"/>
            <family val="2"/>
          </rPr>
          <t>Ganzflächig eingestreut</t>
        </r>
      </text>
    </comment>
    <comment ref="G149" authorId="1" shapeId="0">
      <text>
        <r>
          <rPr>
            <sz val="8"/>
            <color indexed="81"/>
            <rFont val="Tahoma"/>
            <family val="2"/>
          </rPr>
          <t>Lagerdauer
Tal- und Voralpine Zone = 5.0 Monate
Bergzone  1 / 2 / 3         = 6.0 Monate</t>
        </r>
      </text>
    </comment>
  </commentList>
</comments>
</file>

<file path=xl/sharedStrings.xml><?xml version="1.0" encoding="utf-8"?>
<sst xmlns="http://schemas.openxmlformats.org/spreadsheetml/2006/main" count="425" uniqueCount="292">
  <si>
    <t>Stk.</t>
  </si>
  <si>
    <t>Milchkühe</t>
  </si>
  <si>
    <t>-</t>
  </si>
  <si>
    <t>Tiefstreustall, Boxenlaufstall</t>
  </si>
  <si>
    <t>Zuchteber</t>
  </si>
  <si>
    <t>Junghennenplätze</t>
  </si>
  <si>
    <t>Rothirsche</t>
  </si>
  <si>
    <t>Rindvieh</t>
  </si>
  <si>
    <t xml:space="preserve">Pferde  </t>
  </si>
  <si>
    <t>Schweine</t>
  </si>
  <si>
    <t>Geflügel</t>
  </si>
  <si>
    <t>Übrige</t>
  </si>
  <si>
    <t>Total Gülleanfall verdünnt</t>
  </si>
  <si>
    <t>Monaten</t>
  </si>
  <si>
    <t xml:space="preserve">Legehennenplätze </t>
  </si>
  <si>
    <t xml:space="preserve">Mastpouletplätze </t>
  </si>
  <si>
    <t>Parzelle(n) / Baurecht-Nr.(n):</t>
  </si>
  <si>
    <t>Gewässerschutztechnische Beurteilung von Landwirtschaftsbetrieben</t>
  </si>
  <si>
    <r>
      <t>m</t>
    </r>
    <r>
      <rPr>
        <vertAlign val="superscript"/>
        <sz val="10"/>
        <rFont val="Arial"/>
        <family val="2"/>
      </rPr>
      <t>3</t>
    </r>
  </si>
  <si>
    <r>
      <t>m</t>
    </r>
    <r>
      <rPr>
        <b/>
        <vertAlign val="superscript"/>
        <sz val="10"/>
        <rFont val="Arial"/>
        <family val="2"/>
      </rPr>
      <t>3</t>
    </r>
  </si>
  <si>
    <t>Ort und Datum:</t>
  </si>
  <si>
    <t>Betriebsinhaberin/Bauherrin:</t>
  </si>
  <si>
    <t>Der/Die Beauftragte:</t>
  </si>
  <si>
    <t>Betriebsinhaber/Bauherr:</t>
  </si>
  <si>
    <r>
      <t>m</t>
    </r>
    <r>
      <rPr>
        <b/>
        <vertAlign val="superscript"/>
        <sz val="10"/>
        <rFont val="Arial"/>
        <family val="2"/>
      </rPr>
      <t>2</t>
    </r>
  </si>
  <si>
    <t>Eingabefelder</t>
  </si>
  <si>
    <t>=</t>
  </si>
  <si>
    <r>
      <t xml:space="preserve">     Baugesuch                   </t>
    </r>
    <r>
      <rPr>
        <sz val="10"/>
        <rFont val="Wingdings"/>
        <charset val="2"/>
      </rPr>
      <t xml:space="preserve"> </t>
    </r>
    <r>
      <rPr>
        <sz val="10"/>
        <rFont val="Arial"/>
        <family val="2"/>
      </rPr>
      <t>Betriebsbeurteilung</t>
    </r>
  </si>
  <si>
    <t>Unterschrift:</t>
  </si>
  <si>
    <t>Bemerkungen:</t>
  </si>
  <si>
    <t>Name/Vorname des Bauherrn:</t>
  </si>
  <si>
    <t>Adresse:</t>
  </si>
  <si>
    <t>PLZ / Ort:</t>
  </si>
  <si>
    <t>Name / Vorname:</t>
  </si>
  <si>
    <t>Zuchtstier</t>
  </si>
  <si>
    <t>Mastkälber</t>
  </si>
  <si>
    <t>Zuchtschweineplatz inkl. Ferkel bis 25 kg</t>
  </si>
  <si>
    <t>Mastschweineplatz 25-100kg Remonten</t>
  </si>
  <si>
    <t>Ferkel abgesetzt</t>
  </si>
  <si>
    <t>Galtsauenplatz</t>
  </si>
  <si>
    <t>Zuchtsauenplatz säugend (AFP)</t>
  </si>
  <si>
    <t>Masttrutenplätze</t>
  </si>
  <si>
    <r>
      <t>·</t>
    </r>
    <r>
      <rPr>
        <sz val="10"/>
        <rFont val="Arial"/>
        <family val="2"/>
      </rPr>
      <t xml:space="preserve"> Entwässerung von Grundstücken Formular 3.0</t>
    </r>
  </si>
  <si>
    <r>
      <t>·</t>
    </r>
    <r>
      <rPr>
        <sz val="10"/>
        <rFont val="Arial"/>
        <family val="2"/>
      </rPr>
      <t xml:space="preserve"> Kartenausschnitt 1:25'000 mit bezeichnetem Standort</t>
    </r>
  </si>
  <si>
    <r>
      <t>·</t>
    </r>
    <r>
      <rPr>
        <sz val="10"/>
        <rFont val="Arial"/>
        <family val="2"/>
      </rPr>
      <t xml:space="preserve"> Pläne des Bauvorhabens 1:100 oder 1:50 (Grundriss und Schnitte)</t>
    </r>
  </si>
  <si>
    <t>Tiere</t>
  </si>
  <si>
    <t>Betriebsstandort:</t>
  </si>
  <si>
    <t>Gemeinde:</t>
  </si>
  <si>
    <t>Eingang:</t>
  </si>
  <si>
    <t>Gemeinde-Nr:</t>
  </si>
  <si>
    <t>Hofdüngeranfall</t>
  </si>
  <si>
    <t>Schweinehaltung</t>
  </si>
  <si>
    <t>Geflügelhaltung</t>
  </si>
  <si>
    <t>Sitzplätze</t>
  </si>
  <si>
    <t>Aufstallungssystem und errechneter Hofdüngeranfall</t>
  </si>
  <si>
    <t>Bewohnbare Zimmer</t>
  </si>
  <si>
    <t>Anzahl Bewohner</t>
  </si>
  <si>
    <t xml:space="preserve">Abwässer aus Haushalt </t>
  </si>
  <si>
    <t>Bett</t>
  </si>
  <si>
    <t>Partyraum</t>
  </si>
  <si>
    <t>Ferien auf dem Bauernhof</t>
  </si>
  <si>
    <t>Schlafen im Stroh</t>
  </si>
  <si>
    <t>Abwasser aus Haushalt pro Jahr</t>
  </si>
  <si>
    <t>Gülle unverdünnt</t>
  </si>
  <si>
    <t>Benötigter Güllegrubengrösse</t>
  </si>
  <si>
    <t>Neu zu erstellender Güllelagerraum</t>
  </si>
  <si>
    <t>Anzahl Tage in Betrieb</t>
  </si>
  <si>
    <t>Einheit</t>
  </si>
  <si>
    <r>
      <t>·</t>
    </r>
    <r>
      <rPr>
        <sz val="10"/>
        <rFont val="Arial"/>
        <family val="2"/>
      </rPr>
      <t xml:space="preserve"> Baugesuchsformular 1.0</t>
    </r>
  </si>
  <si>
    <t>Diesem Formular sind beizulegen (je ein Exemplar)</t>
  </si>
  <si>
    <t>Kühltank</t>
  </si>
  <si>
    <t>Eimermelkanlage</t>
  </si>
  <si>
    <t>Melkroboter</t>
  </si>
  <si>
    <t>Schweine (MSP)</t>
  </si>
  <si>
    <t>Total Tiere</t>
  </si>
  <si>
    <t>Bauernhaus</t>
  </si>
  <si>
    <t>Stöckli</t>
  </si>
  <si>
    <t>Andere Wohnungen</t>
  </si>
  <si>
    <t>Begründung:</t>
  </si>
  <si>
    <t>Ermitteln der Gülle, Platz- und Abwassermengen</t>
  </si>
  <si>
    <t>Abwasser aus Neben-erwerb</t>
  </si>
  <si>
    <t>Klärgrube</t>
  </si>
  <si>
    <t>Güllegrube</t>
  </si>
  <si>
    <t>Mutter- und Ammenkühe</t>
  </si>
  <si>
    <t>Mutterkuhkälber</t>
  </si>
  <si>
    <t>Milchkammer</t>
  </si>
  <si>
    <t>Pferde</t>
  </si>
  <si>
    <t>Rindviehhaltung</t>
  </si>
  <si>
    <t>Pferdehaltung</t>
  </si>
  <si>
    <t>Anzahl Wohnungen</t>
  </si>
  <si>
    <t>Abwässer aus Melkanlagen 
bei Ableitung in Güllegrube</t>
  </si>
  <si>
    <t>Ermitteln der Güllegrubengrösse
bei einer Lagerdauer von</t>
  </si>
  <si>
    <t>Belegung im Ø in %</t>
  </si>
  <si>
    <t>Anzahl Bett Sitzplätze</t>
  </si>
  <si>
    <t>Abwässer aus Nebenerwerb mit Ableitung in Güllegrube</t>
  </si>
  <si>
    <t>VG</t>
  </si>
  <si>
    <t>NM</t>
  </si>
  <si>
    <t>Total GVE Schweine</t>
  </si>
  <si>
    <t>Total GVE Rindvieh</t>
  </si>
  <si>
    <t>Total GVE Geflügel</t>
  </si>
  <si>
    <t>Platz nur Gülle</t>
  </si>
  <si>
    <t>Platz</t>
  </si>
  <si>
    <t>Platz 
Gülle / Mist</t>
  </si>
  <si>
    <t>Platz 
nur Mist</t>
  </si>
  <si>
    <t>Tiere
 nur Gülle</t>
  </si>
  <si>
    <t>Tiere 
Gülle / Mist</t>
  </si>
  <si>
    <t>Tiere
nur Mist</t>
  </si>
  <si>
    <t>Tiere 
nur Weidegang</t>
  </si>
  <si>
    <r>
      <t>·</t>
    </r>
    <r>
      <rPr>
        <sz val="10"/>
        <rFont val="Arial"/>
        <family val="2"/>
      </rPr>
      <t xml:space="preserve"> Ingenieurbestätigung bei Bau oder Erweiterung von Güllegruben und Schwemmkanälen</t>
    </r>
  </si>
  <si>
    <t>Restaurant innen</t>
  </si>
  <si>
    <t>Rest. aussen, Saal</t>
  </si>
  <si>
    <t>LM25G</t>
  </si>
  <si>
    <t>LM50G</t>
  </si>
  <si>
    <t>LM75G</t>
  </si>
  <si>
    <t>LM25M</t>
  </si>
  <si>
    <t>LM50M</t>
  </si>
  <si>
    <t>LM75M</t>
  </si>
  <si>
    <t>Rindviehmastsplatz 65-
520 kg Rindviehweidemast</t>
  </si>
  <si>
    <t>FVG</t>
  </si>
  <si>
    <t>FNM</t>
  </si>
  <si>
    <t>Band</t>
  </si>
  <si>
    <t>FBand</t>
  </si>
  <si>
    <t>Plätze Mist Kotband</t>
  </si>
  <si>
    <t>Plätze Mist Kotgrube</t>
  </si>
  <si>
    <t>Plätze Kot verflüssigt</t>
  </si>
  <si>
    <t>Plätze Mist verflüssigt</t>
  </si>
  <si>
    <t>100 LHP pro Einheit</t>
  </si>
  <si>
    <t xml:space="preserve">Strausse, Emu </t>
  </si>
  <si>
    <t>Ziegen</t>
  </si>
  <si>
    <t>Milchziegen</t>
  </si>
  <si>
    <t>Schafe</t>
  </si>
  <si>
    <t>Milchschafe</t>
  </si>
  <si>
    <t>Jungtiere &gt; 35 Tage</t>
  </si>
  <si>
    <t>Plätze Mist</t>
  </si>
  <si>
    <t>Bison &gt; 3-jährig</t>
  </si>
  <si>
    <t>Bison &lt; 3-jährig</t>
  </si>
  <si>
    <t>Mutterkaninchen (Zibben) inkl. Jungtiere &lt; 35 Tage</t>
  </si>
  <si>
    <t>Aufzuchtrinder unter
1-jährig</t>
  </si>
  <si>
    <t>Aufzuchtrinder 
1 bis 2-jährig</t>
  </si>
  <si>
    <t>Aufzuchtrinder über
 2-jährig</t>
  </si>
  <si>
    <t>Flächen von Flach-, Fahrsilos</t>
  </si>
  <si>
    <t>GVE pro Einheit</t>
  </si>
  <si>
    <t>Schafe / Ziegen / Kaninchen (Zibben)</t>
  </si>
  <si>
    <t>Total GVE Schafe, Ziegen, Kaninchen (Zibben)</t>
  </si>
  <si>
    <t>Schafe, Ziegen, Kaninchen (Zibben)</t>
  </si>
  <si>
    <t>Schafe / Ziegen / Kaninchen</t>
  </si>
  <si>
    <t>Wasser</t>
  </si>
  <si>
    <t>Faktor</t>
  </si>
  <si>
    <t>Schafe, Ziegen, Zibben</t>
  </si>
  <si>
    <t>Weitere in die Güllegrube entwässerte Flächen (Waschplätze, andere Flächen etc.)</t>
  </si>
  <si>
    <t>Liter</t>
  </si>
  <si>
    <t>F-Zusatz</t>
  </si>
  <si>
    <t>Kanalisationanschluss (ARA)</t>
  </si>
  <si>
    <t>Kleinkläranlage (KLARA)</t>
  </si>
  <si>
    <t>Andere Ableitung (siehe Bemerkungen)</t>
  </si>
  <si>
    <t>Ableitung 
der häuslichen
Abwässer in:</t>
  </si>
  <si>
    <t>im Sommer</t>
  </si>
  <si>
    <t>im Winter (ganzes Jahr)</t>
  </si>
  <si>
    <t>Fa</t>
  </si>
  <si>
    <t>F25G</t>
  </si>
  <si>
    <t>F25M</t>
  </si>
  <si>
    <t>F50G</t>
  </si>
  <si>
    <t>F50M</t>
  </si>
  <si>
    <t>F75G</t>
  </si>
  <si>
    <t>F75M</t>
  </si>
  <si>
    <t>Sommer</t>
  </si>
  <si>
    <t>Winter</t>
  </si>
  <si>
    <t>Summe für 1:3</t>
  </si>
  <si>
    <t>Kver</t>
  </si>
  <si>
    <t>FKVer</t>
  </si>
  <si>
    <t>Mver</t>
  </si>
  <si>
    <t>FMVer</t>
  </si>
  <si>
    <t>KBOH</t>
  </si>
  <si>
    <t>FKBOH</t>
  </si>
  <si>
    <t>Ja</t>
  </si>
  <si>
    <t>Nein</t>
  </si>
  <si>
    <t>Mist verflüssigt</t>
  </si>
  <si>
    <t>Plätze</t>
  </si>
  <si>
    <t>MSP</t>
  </si>
  <si>
    <t>FMSP</t>
  </si>
  <si>
    <t>Wasser für die Stallreinigung und Tierpflege, Rindvieh</t>
  </si>
  <si>
    <t>Wasser für die Stallreinigung und Tierpflege, Schweine</t>
  </si>
  <si>
    <t xml:space="preserve">Wasser zur Reinigung von Geflügelställen            </t>
  </si>
  <si>
    <t>Wasser für die Stallreinigung und Tierpflege, Pferde und übrige Tiere</t>
  </si>
  <si>
    <t>Übrige Tiere</t>
  </si>
  <si>
    <t>FLHP</t>
  </si>
  <si>
    <t>FMMP</t>
  </si>
  <si>
    <t>LHP</t>
  </si>
  <si>
    <t>MPP</t>
  </si>
  <si>
    <t>FMTP</t>
  </si>
  <si>
    <r>
      <t xml:space="preserve">Nutzung:
</t>
    </r>
    <r>
      <rPr>
        <sz val="7"/>
        <rFont val="Arial"/>
        <family val="2"/>
      </rPr>
      <t>Sommer: Verdünnungsrelevant
Winter: Güllegrubenvolumenrelevant</t>
    </r>
  </si>
  <si>
    <t>Vollgülle</t>
  </si>
  <si>
    <t>F25G F25M</t>
  </si>
  <si>
    <t>F50G F50M</t>
  </si>
  <si>
    <t>F75G F75M</t>
  </si>
  <si>
    <t>10-40% eingestreut</t>
  </si>
  <si>
    <t>40-60% eingestreut</t>
  </si>
  <si>
    <t>60-90% eingestreut</t>
  </si>
  <si>
    <t>Nur Mist</t>
  </si>
  <si>
    <t xml:space="preserve">FNM </t>
  </si>
  <si>
    <t>FMSF</t>
  </si>
  <si>
    <t>Faktor Mastschweineplatz</t>
  </si>
  <si>
    <t>Kotband</t>
  </si>
  <si>
    <t>Kotgrube</t>
  </si>
  <si>
    <t>Kot verflüssigt</t>
  </si>
  <si>
    <t>Faktor Legehennenplätz</t>
  </si>
  <si>
    <t>Faktor Mastpouletplätz</t>
  </si>
  <si>
    <t>Faktor Masttrutenplätz</t>
  </si>
  <si>
    <t>Mist m3/J</t>
  </si>
  <si>
    <r>
      <t>Mist 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/J</t>
    </r>
  </si>
  <si>
    <r>
      <t>Gülle 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/J</t>
    </r>
  </si>
  <si>
    <r>
      <t>Kot 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/J</t>
    </r>
  </si>
  <si>
    <t>GVE</t>
  </si>
  <si>
    <t>Tiere Übrige</t>
  </si>
  <si>
    <t>Länge</t>
  </si>
  <si>
    <t>Breite</t>
  </si>
  <si>
    <t>Ø</t>
  </si>
  <si>
    <t>Standort</t>
  </si>
  <si>
    <t>Ausführung</t>
  </si>
  <si>
    <t>Nutzvolumen</t>
  </si>
  <si>
    <r>
      <t>Nutzvolumen in m</t>
    </r>
    <r>
      <rPr>
        <b/>
        <vertAlign val="superscript"/>
        <sz val="10"/>
        <rFont val="Arial"/>
        <family val="2"/>
      </rPr>
      <t>3</t>
    </r>
  </si>
  <si>
    <t>Ø Fläche</t>
  </si>
  <si>
    <t>Höhe / Tiefe</t>
  </si>
  <si>
    <t>Summe eckig</t>
  </si>
  <si>
    <t>Summe rund</t>
  </si>
  <si>
    <r>
      <t xml:space="preserve">Güllelagerraum bestehend. </t>
    </r>
    <r>
      <rPr>
        <sz val="10"/>
        <rFont val="Arial"/>
        <family val="2"/>
      </rPr>
      <t>Nur Güllegruben angeben, welche in gutem Zustand sind oder einwandfrei instandgestellt werden können und ganzjährig uneingeschränkt nutzbar sind! (Nutzvolumen = Höhe -10 cm)</t>
    </r>
  </si>
  <si>
    <r>
      <t xml:space="preserve">Freie Korrektur Abwasser; Zuschläge oder Abzüge pro Jahr. </t>
    </r>
    <r>
      <rPr>
        <sz val="8"/>
        <rFont val="Arial"/>
        <family val="2"/>
      </rPr>
      <t>z.B. Zuschlag Nassfütterung Schweine oder zusätzliches Abwasser Kleingewerbe. Abzug für geringeren Wasserverbrauch. (bei Zuschlag Zahl/Menge eingeben, bei Abzug vor der Zahl/Menge das Minuszeichen; z.B. -5 eingeben)</t>
    </r>
  </si>
  <si>
    <t>Stapelhöhe</t>
  </si>
  <si>
    <t>Baujahr</t>
  </si>
  <si>
    <t>MP Volumen</t>
  </si>
  <si>
    <r>
      <t>m</t>
    </r>
    <r>
      <rPr>
        <b/>
        <vertAlign val="superscript"/>
        <sz val="9.5"/>
        <rFont val="Arial"/>
        <family val="2"/>
      </rPr>
      <t>3</t>
    </r>
  </si>
  <si>
    <t>Mistanfall während 6 Monaten in Kubikmeter</t>
  </si>
  <si>
    <t>Abwässer aus Haushalt</t>
  </si>
  <si>
    <r>
      <t>Abwässer aus Nebenerwerb</t>
    </r>
    <r>
      <rPr>
        <sz val="8"/>
        <rFont val="Arial"/>
        <family val="2"/>
      </rPr>
      <t xml:space="preserve"> (bei Winterbetrieb)</t>
    </r>
  </si>
  <si>
    <t>Abwässer aus Stall und Flächen</t>
  </si>
  <si>
    <t>Abwässer aus Melkanlagen in Güllegrube</t>
  </si>
  <si>
    <t>Total Abwasser aus den Ställen pro Jahr</t>
  </si>
  <si>
    <t>Total Abwasser aus den Melkanlagen pro Jahr</t>
  </si>
  <si>
    <t>Länge:</t>
  </si>
  <si>
    <t>Breite:</t>
  </si>
  <si>
    <t>Stapelhöhe:</t>
  </si>
  <si>
    <t>MP Volumen neu</t>
  </si>
  <si>
    <r>
      <t>m</t>
    </r>
    <r>
      <rPr>
        <vertAlign val="superscript"/>
        <sz val="10"/>
        <rFont val="Arial"/>
        <family val="2"/>
      </rPr>
      <t>2</t>
    </r>
  </si>
  <si>
    <t>Fläche mit Ableitung in GG</t>
  </si>
  <si>
    <t>Mistlagerflächen bestehend und neu</t>
  </si>
  <si>
    <t>Stuten mit Fohlen</t>
  </si>
  <si>
    <t>Pferde &gt; 3-jährig</t>
  </si>
  <si>
    <t>Fohlen 1/2 bis 3-jährig</t>
  </si>
  <si>
    <t>Ponys, Kleinpferde, Esel</t>
  </si>
  <si>
    <t>Maultier, Maulesel</t>
  </si>
  <si>
    <t>Total GVE Pferde</t>
  </si>
  <si>
    <t>Total Gülle / Mist pro Jahr</t>
  </si>
  <si>
    <t>Total Hofdüngeranfall pro Jahr</t>
  </si>
  <si>
    <t>Damhirsche</t>
  </si>
  <si>
    <t>Lama &gt; 2-jährig</t>
  </si>
  <si>
    <t>Lama &lt; 2-jährig</t>
  </si>
  <si>
    <t>Alpakas &gt; 2-jährig</t>
  </si>
  <si>
    <t>Alpakas &lt; 2-jährig</t>
  </si>
  <si>
    <r>
      <t>Mistplatzfläche in m</t>
    </r>
    <r>
      <rPr>
        <b/>
        <vertAlign val="superscript"/>
        <sz val="9.5"/>
        <rFont val="Arial"/>
        <family val="2"/>
      </rPr>
      <t>2</t>
    </r>
  </si>
  <si>
    <r>
      <t xml:space="preserve">Mistplatz bestehend. </t>
    </r>
    <r>
      <rPr>
        <sz val="10"/>
        <rFont val="Arial"/>
        <family val="2"/>
      </rPr>
      <t>Nur Mistplätze angeben, welche in Güllegrube entwässern, oder einwandfrei instandgestellt werden können und ganzjährig uneingeschränkt nutzbar sind! (Standartstapelhöhe = 1.50 m)</t>
    </r>
  </si>
  <si>
    <t>Tiere
 Gülle, wenig Mist</t>
  </si>
  <si>
    <t>Tiere
Mist, wenig Gülle</t>
  </si>
  <si>
    <t>Platz Gülle, wenig Mist</t>
  </si>
  <si>
    <t>Platz 
Mist, wenig Gülle</t>
  </si>
  <si>
    <t>Total GVE übrige Tiere</t>
  </si>
  <si>
    <t>Total GVE</t>
  </si>
  <si>
    <t>Abwässer aus Ställen und Flächen</t>
  </si>
  <si>
    <t>Flächen von unüberdeckten Güllegruben / Güllesilos</t>
  </si>
  <si>
    <r>
      <t xml:space="preserve">Mistplatz </t>
    </r>
    <r>
      <rPr>
        <b/>
        <sz val="10"/>
        <rFont val="Arial"/>
        <family val="2"/>
      </rPr>
      <t>neu</t>
    </r>
    <r>
      <rPr>
        <sz val="10"/>
        <rFont val="Arial"/>
        <family val="2"/>
      </rPr>
      <t xml:space="preserve"> (m)</t>
    </r>
  </si>
  <si>
    <t>Flächen von befestigten und nicht überdachten Laufhöfen</t>
  </si>
  <si>
    <r>
      <t>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/J</t>
    </r>
  </si>
  <si>
    <t>Anz.</t>
  </si>
  <si>
    <t>Ja/Nein</t>
  </si>
  <si>
    <t>Standplatz</t>
  </si>
  <si>
    <t>Rohrmelkanlage</t>
  </si>
  <si>
    <t>Melkstand inkl. Reinigung Melkgrube</t>
  </si>
  <si>
    <t>Melkeinheiten</t>
  </si>
  <si>
    <t>Himweis: 6 pro Stamdplatz + 6 pro Melkeinheit</t>
  </si>
  <si>
    <t xml:space="preserve">Güllelagerraum bestehend </t>
  </si>
  <si>
    <t>Verdünnung Gülle</t>
  </si>
  <si>
    <t>Mistlagervolumen bestehend + neu</t>
  </si>
  <si>
    <t>Manko Mistlagervolumen</t>
  </si>
  <si>
    <t>Neu zu erstellende Mistplatzfläche bei einer Stapelhöhe 1.5 Meter</t>
  </si>
  <si>
    <t>Ermitteln der Mistplatzfläche und des Mistvolumens</t>
  </si>
  <si>
    <t>März 2020</t>
  </si>
  <si>
    <t>Seite 1 von 4</t>
  </si>
  <si>
    <t>Berechnung der Lagerkapazität für Hofdünger und Abwasser</t>
  </si>
  <si>
    <t xml:space="preserve">Formular 4.4 </t>
  </si>
  <si>
    <t xml:space="preserve">Berechnung der Lagerkapazität 
für Hofdünger und Abwasser </t>
  </si>
  <si>
    <t>Anzahl 
100 LHP</t>
  </si>
  <si>
    <t>Geflügel (100 LHP)</t>
  </si>
  <si>
    <t>Bau- und Verkehrsdirektion, Amt für Wasser und Abfall, Reiterstrasse 11, 3013 Bern
+41 31 633 38 11 l info.awa@be.ch l www.be.ch/awa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</si>
</sst>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\1\:"/>
  </numFmts>
  <fonts count="3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Wingdings"/>
      <charset val="2"/>
    </font>
    <font>
      <sz val="10"/>
      <name val="Arial"/>
      <family val="2"/>
    </font>
    <font>
      <sz val="7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sz val="10"/>
      <name val="Symbol"/>
      <family val="1"/>
      <charset val="2"/>
    </font>
    <font>
      <b/>
      <sz val="16"/>
      <name val="Arial"/>
      <family val="2"/>
    </font>
    <font>
      <i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8"/>
      <color indexed="81"/>
      <name val="Tahoma"/>
      <family val="2"/>
    </font>
    <font>
      <b/>
      <sz val="9.5"/>
      <name val="Arial"/>
      <family val="2"/>
    </font>
    <font>
      <b/>
      <sz val="10"/>
      <color indexed="9"/>
      <name val="Arial"/>
      <family val="2"/>
    </font>
    <font>
      <b/>
      <sz val="13.5"/>
      <name val="Arial"/>
      <family val="2"/>
    </font>
    <font>
      <sz val="9.5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rgb="FF000000"/>
      <name val="Arial"/>
      <family val="2"/>
    </font>
    <font>
      <sz val="8"/>
      <color rgb="FF000000"/>
      <name val="Tahoma"/>
      <family val="2"/>
    </font>
    <font>
      <b/>
      <vertAlign val="superscript"/>
      <sz val="9.5"/>
      <name val="Arial"/>
      <family val="2"/>
    </font>
    <font>
      <sz val="6"/>
      <name val="Arial"/>
      <family val="2"/>
    </font>
    <font>
      <sz val="8.5"/>
      <name val="Arial"/>
      <family val="2"/>
    </font>
    <font>
      <sz val="10.5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43"/>
      </patternFill>
    </fill>
    <fill>
      <patternFill patternType="solid">
        <fgColor theme="0" tint="-4.9989318521683403E-2"/>
        <bgColor indexed="26"/>
      </patternFill>
    </fill>
  </fills>
  <borders count="5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24994659260841701"/>
      </left>
      <right/>
      <top/>
      <bottom style="thin">
        <color indexed="64"/>
      </bottom>
      <diagonal/>
    </border>
    <border>
      <left style="thin">
        <color theme="0" tint="-0.24994659260841701"/>
      </left>
      <right/>
      <top style="thin">
        <color indexed="64"/>
      </top>
      <bottom/>
      <diagonal/>
    </border>
    <border>
      <left/>
      <right style="thin">
        <color theme="0" tint="-0.24994659260841701"/>
      </right>
      <top style="thin">
        <color auto="1"/>
      </top>
      <bottom/>
      <diagonal/>
    </border>
    <border>
      <left/>
      <right style="thin">
        <color theme="0" tint="-0.24994659260841701"/>
      </right>
      <top/>
      <bottom style="thin">
        <color auto="1"/>
      </bottom>
      <diagonal/>
    </border>
  </borders>
  <cellStyleXfs count="1">
    <xf numFmtId="0" fontId="0" fillId="0" borderId="0"/>
  </cellStyleXfs>
  <cellXfs count="576">
    <xf numFmtId="0" fontId="0" fillId="0" borderId="0" xfId="0"/>
    <xf numFmtId="0" fontId="3" fillId="0" borderId="0" xfId="0" applyFont="1" applyProtection="1"/>
    <xf numFmtId="0" fontId="3" fillId="0" borderId="0" xfId="0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Protection="1"/>
    <xf numFmtId="0" fontId="8" fillId="0" borderId="0" xfId="0" applyFont="1" applyProtection="1"/>
    <xf numFmtId="0" fontId="7" fillId="0" borderId="0" xfId="0" applyFont="1" applyProtection="1"/>
    <xf numFmtId="0" fontId="3" fillId="0" borderId="0" xfId="0" applyFont="1" applyAlignment="1" applyProtection="1">
      <alignment horizontal="center" vertical="center"/>
    </xf>
    <xf numFmtId="0" fontId="1" fillId="0" borderId="0" xfId="0" applyFont="1" applyAlignment="1" applyProtection="1"/>
    <xf numFmtId="0" fontId="5" fillId="0" borderId="0" xfId="0" applyFont="1" applyProtection="1"/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1" fontId="1" fillId="0" borderId="0" xfId="0" applyNumberFormat="1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/>
      <protection locked="0"/>
    </xf>
    <xf numFmtId="164" fontId="3" fillId="0" borderId="0" xfId="0" applyNumberFormat="1" applyFont="1" applyAlignment="1" applyProtection="1">
      <alignment horizontal="center" vertical="center"/>
      <protection locked="0"/>
    </xf>
    <xf numFmtId="1" fontId="3" fillId="0" borderId="0" xfId="0" applyNumberFormat="1" applyFont="1" applyBorder="1" applyAlignment="1" applyProtection="1">
      <alignment horizontal="center" vertical="center"/>
      <protection locked="0"/>
    </xf>
    <xf numFmtId="1" fontId="3" fillId="0" borderId="0" xfId="0" applyNumberFormat="1" applyFont="1" applyAlignment="1" applyProtection="1">
      <alignment horizontal="center" vertical="center"/>
      <protection locked="0"/>
    </xf>
    <xf numFmtId="3" fontId="3" fillId="0" borderId="0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26" fillId="0" borderId="0" xfId="0" applyFont="1" applyAlignment="1" applyProtection="1">
      <alignment horizontal="center" vertical="center"/>
      <protection locked="0"/>
    </xf>
    <xf numFmtId="0" fontId="26" fillId="0" borderId="0" xfId="0" applyFont="1" applyAlignment="1" applyProtection="1">
      <alignment vertical="center"/>
    </xf>
    <xf numFmtId="0" fontId="26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horizontal="center" vertical="center" wrapText="1"/>
      <protection locked="0"/>
    </xf>
    <xf numFmtId="0" fontId="26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27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protection locked="0"/>
    </xf>
    <xf numFmtId="0" fontId="26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8" fillId="0" borderId="2" xfId="0" applyFont="1" applyBorder="1" applyAlignment="1" applyProtection="1">
      <alignment vertical="center"/>
    </xf>
    <xf numFmtId="0" fontId="15" fillId="3" borderId="0" xfId="0" applyFont="1" applyFill="1" applyBorder="1" applyAlignment="1" applyProtection="1">
      <alignment horizontal="center" vertical="center"/>
    </xf>
    <xf numFmtId="0" fontId="15" fillId="3" borderId="0" xfId="0" applyFont="1" applyFill="1" applyBorder="1" applyAlignment="1" applyProtection="1">
      <alignment horizontal="left" vertical="center" wrapText="1"/>
    </xf>
    <xf numFmtId="0" fontId="15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 wrapText="1"/>
    </xf>
    <xf numFmtId="0" fontId="0" fillId="0" borderId="0" xfId="0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/>
    </xf>
    <xf numFmtId="0" fontId="0" fillId="0" borderId="0" xfId="0" applyBorder="1" applyAlignment="1" applyProtection="1"/>
    <xf numFmtId="0" fontId="3" fillId="3" borderId="0" xfId="0" applyFont="1" applyFill="1" applyBorder="1" applyAlignment="1" applyProtection="1">
      <alignment horizontal="right"/>
    </xf>
    <xf numFmtId="0" fontId="1" fillId="3" borderId="0" xfId="0" applyFont="1" applyFill="1" applyAlignment="1" applyProtection="1">
      <alignment horizontal="left" vertical="center"/>
    </xf>
    <xf numFmtId="0" fontId="9" fillId="3" borderId="0" xfId="0" applyFont="1" applyFill="1" applyAlignment="1" applyProtection="1">
      <alignment horizontal="left" vertical="center"/>
    </xf>
    <xf numFmtId="0" fontId="10" fillId="3" borderId="0" xfId="0" applyFont="1" applyFill="1" applyAlignment="1" applyProtection="1">
      <alignment horizontal="center" vertical="center"/>
    </xf>
    <xf numFmtId="0" fontId="10" fillId="3" borderId="0" xfId="0" applyFont="1" applyFill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right" vertical="center"/>
    </xf>
    <xf numFmtId="0" fontId="1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right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vertical="center"/>
    </xf>
    <xf numFmtId="0" fontId="8" fillId="3" borderId="3" xfId="0" applyFont="1" applyFill="1" applyBorder="1" applyAlignment="1" applyProtection="1">
      <alignment horizontal="left" vertical="center" wrapText="1"/>
    </xf>
    <xf numFmtId="0" fontId="8" fillId="0" borderId="3" xfId="0" applyFont="1" applyBorder="1" applyAlignment="1" applyProtection="1">
      <alignment vertical="center"/>
    </xf>
    <xf numFmtId="2" fontId="8" fillId="0" borderId="3" xfId="0" applyNumberFormat="1" applyFont="1" applyBorder="1" applyAlignment="1" applyProtection="1">
      <alignment vertical="center"/>
    </xf>
    <xf numFmtId="0" fontId="3" fillId="3" borderId="3" xfId="0" applyFont="1" applyFill="1" applyBorder="1" applyAlignment="1" applyProtection="1">
      <alignment horizontal="left" vertical="center"/>
    </xf>
    <xf numFmtId="0" fontId="0" fillId="0" borderId="3" xfId="0" applyBorder="1" applyAlignment="1" applyProtection="1">
      <alignment horizontal="left" vertical="center"/>
    </xf>
    <xf numFmtId="2" fontId="3" fillId="3" borderId="3" xfId="0" applyNumberFormat="1" applyFont="1" applyFill="1" applyBorder="1" applyAlignment="1" applyProtection="1">
      <alignment horizontal="left" vertical="center"/>
    </xf>
    <xf numFmtId="0" fontId="8" fillId="0" borderId="3" xfId="0" applyFont="1" applyBorder="1" applyAlignment="1" applyProtection="1">
      <alignment horizontal="right" vertical="center"/>
    </xf>
    <xf numFmtId="3" fontId="8" fillId="3" borderId="3" xfId="0" applyNumberFormat="1" applyFont="1" applyFill="1" applyBorder="1" applyAlignment="1" applyProtection="1">
      <alignment horizontal="right" vertical="center"/>
    </xf>
    <xf numFmtId="0" fontId="0" fillId="0" borderId="0" xfId="0" applyBorder="1" applyAlignment="1" applyProtection="1">
      <alignment horizontal="right" vertical="center"/>
    </xf>
    <xf numFmtId="0" fontId="8" fillId="3" borderId="2" xfId="0" applyFont="1" applyFill="1" applyBorder="1" applyAlignment="1" applyProtection="1">
      <alignment horizontal="left" vertical="center" wrapText="1"/>
    </xf>
    <xf numFmtId="2" fontId="8" fillId="3" borderId="2" xfId="0" applyNumberFormat="1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left" vertical="center"/>
    </xf>
    <xf numFmtId="0" fontId="0" fillId="0" borderId="2" xfId="0" applyBorder="1" applyAlignment="1" applyProtection="1">
      <alignment vertical="center"/>
    </xf>
    <xf numFmtId="2" fontId="3" fillId="3" borderId="2" xfId="0" applyNumberFormat="1" applyFont="1" applyFill="1" applyBorder="1" applyAlignment="1" applyProtection="1">
      <alignment horizontal="left" vertical="center"/>
    </xf>
    <xf numFmtId="2" fontId="3" fillId="3" borderId="2" xfId="0" applyNumberFormat="1" applyFont="1" applyFill="1" applyBorder="1" applyAlignment="1" applyProtection="1">
      <alignment horizontal="right" vertical="center"/>
    </xf>
    <xf numFmtId="2" fontId="8" fillId="3" borderId="3" xfId="0" applyNumberFormat="1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right" vertical="center"/>
    </xf>
    <xf numFmtId="2" fontId="0" fillId="0" borderId="2" xfId="0" applyNumberForma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2" fontId="3" fillId="3" borderId="3" xfId="0" applyNumberFormat="1" applyFont="1" applyFill="1" applyBorder="1" applyAlignment="1" applyProtection="1">
      <alignment horizontal="center" vertical="center"/>
    </xf>
    <xf numFmtId="165" fontId="2" fillId="3" borderId="3" xfId="0" applyNumberFormat="1" applyFont="1" applyFill="1" applyBorder="1" applyAlignment="1" applyProtection="1">
      <alignment horizontal="right" vertical="center"/>
    </xf>
    <xf numFmtId="0" fontId="2" fillId="3" borderId="5" xfId="0" applyFont="1" applyFill="1" applyBorder="1" applyAlignment="1" applyProtection="1">
      <alignment horizontal="left" vertical="center"/>
    </xf>
    <xf numFmtId="0" fontId="2" fillId="3" borderId="5" xfId="0" applyFont="1" applyFill="1" applyBorder="1" applyAlignment="1" applyProtection="1">
      <alignment horizontal="right" vertical="center"/>
    </xf>
    <xf numFmtId="2" fontId="2" fillId="3" borderId="5" xfId="0" applyNumberFormat="1" applyFont="1" applyFill="1" applyBorder="1" applyAlignment="1" applyProtection="1">
      <alignment horizontal="center" vertical="center"/>
    </xf>
    <xf numFmtId="164" fontId="2" fillId="3" borderId="5" xfId="0" applyNumberFormat="1" applyFont="1" applyFill="1" applyBorder="1" applyAlignment="1" applyProtection="1">
      <alignment horizontal="center" vertical="center"/>
    </xf>
    <xf numFmtId="0" fontId="8" fillId="3" borderId="5" xfId="0" applyFont="1" applyFill="1" applyBorder="1" applyAlignment="1" applyProtection="1">
      <alignment horizontal="left"/>
    </xf>
    <xf numFmtId="1" fontId="8" fillId="3" borderId="5" xfId="0" applyNumberFormat="1" applyFont="1" applyFill="1" applyBorder="1" applyAlignment="1" applyProtection="1">
      <alignment horizontal="center"/>
    </xf>
    <xf numFmtId="0" fontId="8" fillId="3" borderId="5" xfId="0" applyFont="1" applyFill="1" applyBorder="1" applyAlignment="1" applyProtection="1">
      <alignment horizontal="center"/>
    </xf>
    <xf numFmtId="0" fontId="3" fillId="3" borderId="5" xfId="0" applyFont="1" applyFill="1" applyBorder="1" applyAlignment="1" applyProtection="1">
      <alignment horizontal="left"/>
    </xf>
    <xf numFmtId="0" fontId="3" fillId="3" borderId="5" xfId="0" applyFont="1" applyFill="1" applyBorder="1" applyAlignment="1" applyProtection="1">
      <alignment horizontal="right"/>
    </xf>
    <xf numFmtId="0" fontId="3" fillId="3" borderId="5" xfId="0" applyFont="1" applyFill="1" applyBorder="1" applyAlignment="1" applyProtection="1">
      <alignment horizontal="center"/>
    </xf>
    <xf numFmtId="0" fontId="8" fillId="3" borderId="2" xfId="0" applyFont="1" applyFill="1" applyBorder="1" applyAlignment="1" applyProtection="1">
      <alignment horizontal="left"/>
    </xf>
    <xf numFmtId="0" fontId="8" fillId="3" borderId="2" xfId="0" applyFont="1" applyFill="1" applyBorder="1" applyAlignment="1" applyProtection="1">
      <alignment horizontal="center"/>
    </xf>
    <xf numFmtId="0" fontId="3" fillId="3" borderId="2" xfId="0" applyFont="1" applyFill="1" applyBorder="1" applyAlignment="1" applyProtection="1">
      <alignment horizontal="left"/>
    </xf>
    <xf numFmtId="0" fontId="3" fillId="3" borderId="2" xfId="0" applyFont="1" applyFill="1" applyBorder="1" applyAlignment="1" applyProtection="1">
      <alignment horizontal="right"/>
    </xf>
    <xf numFmtId="0" fontId="3" fillId="3" borderId="2" xfId="0" applyFont="1" applyFill="1" applyBorder="1" applyAlignment="1" applyProtection="1">
      <alignment horizontal="center"/>
    </xf>
    <xf numFmtId="0" fontId="8" fillId="3" borderId="0" xfId="0" applyFont="1" applyFill="1" applyBorder="1" applyAlignment="1" applyProtection="1">
      <alignment horizontal="right"/>
    </xf>
    <xf numFmtId="3" fontId="8" fillId="3" borderId="0" xfId="0" applyNumberFormat="1" applyFont="1" applyFill="1" applyBorder="1" applyAlignment="1" applyProtection="1">
      <alignment horizontal="right"/>
    </xf>
    <xf numFmtId="0" fontId="8" fillId="3" borderId="0" xfId="0" applyFont="1" applyFill="1" applyBorder="1" applyAlignment="1" applyProtection="1">
      <alignment horizontal="left"/>
    </xf>
    <xf numFmtId="0" fontId="8" fillId="3" borderId="0" xfId="0" applyFont="1" applyFill="1" applyBorder="1" applyAlignment="1" applyProtection="1">
      <alignment horizontal="left" vertical="top"/>
    </xf>
    <xf numFmtId="0" fontId="3" fillId="3" borderId="0" xfId="0" applyFont="1" applyFill="1" applyAlignment="1" applyProtection="1">
      <alignment horizontal="left"/>
    </xf>
    <xf numFmtId="0" fontId="3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>
      <alignment horizontal="center"/>
    </xf>
    <xf numFmtId="0" fontId="3" fillId="3" borderId="0" xfId="0" applyFont="1" applyFill="1" applyBorder="1" applyAlignment="1" applyProtection="1">
      <alignment horizontal="center"/>
    </xf>
    <xf numFmtId="0" fontId="7" fillId="3" borderId="0" xfId="0" applyFont="1" applyFill="1" applyAlignment="1" applyProtection="1">
      <alignment horizontal="left"/>
    </xf>
    <xf numFmtId="0" fontId="7" fillId="3" borderId="0" xfId="0" applyFont="1" applyFill="1" applyAlignment="1" applyProtection="1">
      <alignment horizontal="right"/>
    </xf>
    <xf numFmtId="0" fontId="7" fillId="3" borderId="0" xfId="0" applyFont="1" applyFill="1" applyAlignment="1" applyProtection="1">
      <alignment horizontal="center"/>
    </xf>
    <xf numFmtId="0" fontId="2" fillId="0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right"/>
    </xf>
    <xf numFmtId="0" fontId="1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/>
    <xf numFmtId="0" fontId="14" fillId="0" borderId="0" xfId="0" applyFont="1" applyFill="1" applyBorder="1" applyAlignment="1" applyProtection="1">
      <alignment horizontal="left"/>
    </xf>
    <xf numFmtId="0" fontId="13" fillId="0" borderId="0" xfId="0" applyFont="1" applyProtection="1"/>
    <xf numFmtId="0" fontId="21" fillId="0" borderId="0" xfId="0" applyFont="1" applyProtection="1"/>
    <xf numFmtId="164" fontId="14" fillId="0" borderId="0" xfId="0" applyNumberFormat="1" applyFont="1" applyFill="1" applyBorder="1" applyAlignment="1" applyProtection="1">
      <alignment horizontal="left"/>
    </xf>
    <xf numFmtId="0" fontId="5" fillId="3" borderId="0" xfId="0" applyFont="1" applyFill="1" applyAlignment="1" applyProtection="1">
      <alignment horizontal="left"/>
    </xf>
    <xf numFmtId="0" fontId="2" fillId="3" borderId="0" xfId="0" applyFont="1" applyFill="1" applyAlignment="1" applyProtection="1">
      <alignment horizontal="left"/>
    </xf>
    <xf numFmtId="0" fontId="0" fillId="0" borderId="0" xfId="0" applyProtection="1"/>
    <xf numFmtId="0" fontId="1" fillId="0" borderId="0" xfId="0" applyFont="1" applyProtection="1">
      <protection locked="0"/>
    </xf>
    <xf numFmtId="4" fontId="2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2" fillId="3" borderId="8" xfId="0" applyFont="1" applyFill="1" applyBorder="1" applyAlignment="1" applyProtection="1">
      <alignment horizontal="center" textRotation="90" wrapText="1"/>
    </xf>
    <xf numFmtId="1" fontId="1" fillId="0" borderId="14" xfId="0" applyNumberFormat="1" applyFont="1" applyFill="1" applyBorder="1" applyAlignment="1" applyProtection="1">
      <alignment horizontal="right" vertical="center"/>
    </xf>
    <xf numFmtId="0" fontId="0" fillId="0" borderId="15" xfId="0" applyFill="1" applyBorder="1" applyAlignment="1" applyProtection="1">
      <alignment horizontal="left" vertical="center"/>
    </xf>
    <xf numFmtId="1" fontId="1" fillId="0" borderId="16" xfId="0" applyNumberFormat="1" applyFont="1" applyFill="1" applyBorder="1" applyAlignment="1" applyProtection="1">
      <alignment horizontal="right" vertical="center"/>
    </xf>
    <xf numFmtId="0" fontId="0" fillId="0" borderId="17" xfId="0" applyFill="1" applyBorder="1" applyAlignment="1" applyProtection="1">
      <alignment horizontal="left" vertical="center"/>
    </xf>
    <xf numFmtId="0" fontId="12" fillId="3" borderId="19" xfId="0" applyFont="1" applyFill="1" applyBorder="1" applyAlignment="1" applyProtection="1">
      <alignment horizontal="center" textRotation="90" wrapText="1"/>
    </xf>
    <xf numFmtId="0" fontId="12" fillId="3" borderId="19" xfId="0" applyFont="1" applyFill="1" applyBorder="1" applyAlignment="1" applyProtection="1">
      <alignment horizontal="right" textRotation="90" wrapText="1"/>
    </xf>
    <xf numFmtId="1" fontId="0" fillId="0" borderId="27" xfId="0" applyNumberFormat="1" applyFill="1" applyBorder="1" applyAlignment="1" applyProtection="1">
      <alignment horizontal="right" vertical="center"/>
    </xf>
    <xf numFmtId="0" fontId="0" fillId="0" borderId="28" xfId="0" applyFill="1" applyBorder="1" applyAlignment="1" applyProtection="1">
      <alignment horizontal="left" vertical="center"/>
    </xf>
    <xf numFmtId="1" fontId="0" fillId="0" borderId="29" xfId="0" applyNumberFormat="1" applyFill="1" applyBorder="1" applyAlignment="1" applyProtection="1">
      <alignment horizontal="right" vertical="center"/>
    </xf>
    <xf numFmtId="0" fontId="0" fillId="0" borderId="30" xfId="0" applyFill="1" applyBorder="1" applyAlignment="1" applyProtection="1">
      <alignment horizontal="left" vertical="center"/>
    </xf>
    <xf numFmtId="0" fontId="1" fillId="3" borderId="19" xfId="0" applyFont="1" applyFill="1" applyBorder="1" applyAlignment="1" applyProtection="1">
      <alignment horizontal="center" vertical="center" wrapText="1"/>
    </xf>
    <xf numFmtId="0" fontId="11" fillId="3" borderId="19" xfId="0" applyFont="1" applyFill="1" applyBorder="1" applyAlignment="1" applyProtection="1">
      <alignment horizontal="center" vertical="center" wrapText="1"/>
    </xf>
    <xf numFmtId="0" fontId="11" fillId="0" borderId="19" xfId="0" applyFont="1" applyBorder="1" applyAlignment="1" applyProtection="1">
      <alignment horizontal="center" vertical="center" wrapText="1"/>
    </xf>
    <xf numFmtId="2" fontId="3" fillId="3" borderId="22" xfId="0" applyNumberFormat="1" applyFont="1" applyFill="1" applyBorder="1" applyAlignment="1" applyProtection="1">
      <alignment horizontal="right" vertical="center"/>
    </xf>
    <xf numFmtId="4" fontId="3" fillId="3" borderId="22" xfId="0" applyNumberFormat="1" applyFont="1" applyFill="1" applyBorder="1" applyAlignment="1" applyProtection="1">
      <alignment horizontal="right" vertical="center"/>
    </xf>
    <xf numFmtId="1" fontId="3" fillId="0" borderId="22" xfId="0" applyNumberFormat="1" applyFont="1" applyFill="1" applyBorder="1" applyAlignment="1" applyProtection="1">
      <alignment horizontal="center" vertical="center"/>
    </xf>
    <xf numFmtId="1" fontId="5" fillId="0" borderId="22" xfId="0" applyNumberFormat="1" applyFont="1" applyFill="1" applyBorder="1" applyAlignment="1" applyProtection="1">
      <alignment horizontal="center" vertical="center"/>
    </xf>
    <xf numFmtId="0" fontId="8" fillId="0" borderId="25" xfId="0" applyFont="1" applyBorder="1" applyAlignment="1" applyProtection="1">
      <alignment vertical="center"/>
    </xf>
    <xf numFmtId="2" fontId="8" fillId="0" borderId="25" xfId="0" applyNumberFormat="1" applyFont="1" applyBorder="1" applyAlignment="1" applyProtection="1">
      <alignment horizontal="right" vertical="center"/>
    </xf>
    <xf numFmtId="3" fontId="8" fillId="3" borderId="25" xfId="0" applyNumberFormat="1" applyFont="1" applyFill="1" applyBorder="1" applyAlignment="1" applyProtection="1">
      <alignment horizontal="right" vertical="center"/>
    </xf>
    <xf numFmtId="3" fontId="8" fillId="3" borderId="26" xfId="0" applyNumberFormat="1" applyFont="1" applyFill="1" applyBorder="1" applyAlignment="1" applyProtection="1">
      <alignment horizontal="right" vertical="center"/>
    </xf>
    <xf numFmtId="2" fontId="8" fillId="3" borderId="25" xfId="0" applyNumberFormat="1" applyFont="1" applyFill="1" applyBorder="1" applyAlignment="1" applyProtection="1">
      <alignment horizontal="right" vertical="center"/>
    </xf>
    <xf numFmtId="0" fontId="3" fillId="3" borderId="19" xfId="0" applyFont="1" applyFill="1" applyBorder="1" applyAlignment="1" applyProtection="1">
      <alignment horizontal="center" vertical="center" wrapText="1"/>
    </xf>
    <xf numFmtId="0" fontId="0" fillId="3" borderId="19" xfId="0" applyFont="1" applyFill="1" applyBorder="1" applyAlignment="1" applyProtection="1">
      <alignment horizontal="center" vertical="center" wrapText="1"/>
    </xf>
    <xf numFmtId="1" fontId="1" fillId="0" borderId="31" xfId="0" applyNumberFormat="1" applyFont="1" applyFill="1" applyBorder="1" applyAlignment="1" applyProtection="1">
      <alignment horizontal="center" vertical="center"/>
    </xf>
    <xf numFmtId="1" fontId="1" fillId="0" borderId="32" xfId="0" applyNumberFormat="1" applyFont="1" applyFill="1" applyBorder="1" applyAlignment="1" applyProtection="1">
      <alignment horizontal="center" vertical="center"/>
    </xf>
    <xf numFmtId="1" fontId="1" fillId="0" borderId="33" xfId="0" applyNumberFormat="1" applyFont="1" applyFill="1" applyBorder="1" applyAlignment="1" applyProtection="1">
      <alignment horizontal="center" vertical="center"/>
    </xf>
    <xf numFmtId="164" fontId="12" fillId="3" borderId="19" xfId="0" applyNumberFormat="1" applyFont="1" applyFill="1" applyBorder="1" applyAlignment="1" applyProtection="1">
      <alignment horizontal="center" vertical="center" wrapText="1"/>
    </xf>
    <xf numFmtId="0" fontId="1" fillId="0" borderId="19" xfId="0" applyFont="1" applyBorder="1" applyAlignment="1" applyProtection="1">
      <alignment horizontal="center" vertical="center" wrapText="1"/>
    </xf>
    <xf numFmtId="165" fontId="3" fillId="3" borderId="23" xfId="0" applyNumberFormat="1" applyFont="1" applyFill="1" applyBorder="1" applyAlignment="1" applyProtection="1">
      <alignment horizontal="right" vertical="center"/>
    </xf>
    <xf numFmtId="2" fontId="2" fillId="3" borderId="25" xfId="0" applyNumberFormat="1" applyFont="1" applyFill="1" applyBorder="1" applyAlignment="1" applyProtection="1">
      <alignment horizontal="right" vertical="center"/>
    </xf>
    <xf numFmtId="0" fontId="3" fillId="3" borderId="34" xfId="0" applyFont="1" applyFill="1" applyBorder="1" applyAlignment="1" applyProtection="1">
      <alignment horizontal="left" vertical="center"/>
    </xf>
    <xf numFmtId="3" fontId="8" fillId="3" borderId="29" xfId="0" applyNumberFormat="1" applyFont="1" applyFill="1" applyBorder="1" applyAlignment="1" applyProtection="1">
      <alignment horizontal="right" vertical="center"/>
    </xf>
    <xf numFmtId="0" fontId="2" fillId="3" borderId="35" xfId="0" applyFont="1" applyFill="1" applyBorder="1" applyAlignment="1" applyProtection="1">
      <alignment horizontal="left" vertical="center"/>
    </xf>
    <xf numFmtId="0" fontId="3" fillId="0" borderId="41" xfId="0" applyFont="1" applyBorder="1" applyAlignment="1" applyProtection="1">
      <alignment vertical="center"/>
    </xf>
    <xf numFmtId="0" fontId="3" fillId="3" borderId="30" xfId="0" applyFont="1" applyFill="1" applyBorder="1" applyAlignment="1" applyProtection="1">
      <alignment horizontal="left" vertical="center"/>
    </xf>
    <xf numFmtId="2" fontId="3" fillId="3" borderId="22" xfId="0" applyNumberFormat="1" applyFont="1" applyFill="1" applyBorder="1" applyAlignment="1" applyProtection="1">
      <alignment horizontal="right" vertical="center"/>
    </xf>
    <xf numFmtId="0" fontId="0" fillId="0" borderId="0" xfId="0" applyBorder="1" applyAlignment="1" applyProtection="1"/>
    <xf numFmtId="0" fontId="0" fillId="0" borderId="0" xfId="0" applyBorder="1" applyAlignment="1" applyProtection="1"/>
    <xf numFmtId="0" fontId="3" fillId="0" borderId="22" xfId="0" applyFont="1" applyBorder="1" applyAlignment="1" applyProtection="1">
      <alignment vertical="center"/>
    </xf>
    <xf numFmtId="164" fontId="1" fillId="3" borderId="20" xfId="0" applyNumberFormat="1" applyFont="1" applyFill="1" applyBorder="1" applyAlignment="1" applyProtection="1">
      <alignment horizontal="center" vertical="center" wrapText="1"/>
    </xf>
    <xf numFmtId="165" fontId="3" fillId="3" borderId="22" xfId="0" applyNumberFormat="1" applyFont="1" applyFill="1" applyBorder="1" applyAlignment="1" applyProtection="1">
      <alignment horizontal="right" vertical="center"/>
    </xf>
    <xf numFmtId="165" fontId="5" fillId="3" borderId="22" xfId="0" applyNumberFormat="1" applyFont="1" applyFill="1" applyBorder="1" applyAlignment="1" applyProtection="1">
      <alignment horizontal="center" vertical="center"/>
    </xf>
    <xf numFmtId="3" fontId="8" fillId="0" borderId="25" xfId="0" applyNumberFormat="1" applyFont="1" applyBorder="1" applyAlignment="1" applyProtection="1">
      <alignment vertical="center"/>
    </xf>
    <xf numFmtId="3" fontId="8" fillId="0" borderId="26" xfId="0" applyNumberFormat="1" applyFont="1" applyBorder="1" applyAlignment="1" applyProtection="1">
      <alignment vertical="center"/>
    </xf>
    <xf numFmtId="1" fontId="2" fillId="0" borderId="25" xfId="0" applyNumberFormat="1" applyFont="1" applyBorder="1" applyAlignment="1" applyProtection="1">
      <alignment horizontal="right" vertical="center"/>
    </xf>
    <xf numFmtId="1" fontId="2" fillId="0" borderId="26" xfId="0" applyNumberFormat="1" applyFont="1" applyBorder="1" applyAlignment="1" applyProtection="1">
      <alignment horizontal="right" vertical="center"/>
    </xf>
    <xf numFmtId="3" fontId="2" fillId="3" borderId="25" xfId="0" applyNumberFormat="1" applyFont="1" applyFill="1" applyBorder="1" applyAlignment="1" applyProtection="1">
      <alignment horizontal="right" vertical="center"/>
    </xf>
    <xf numFmtId="3" fontId="2" fillId="3" borderId="26" xfId="0" applyNumberFormat="1" applyFont="1" applyFill="1" applyBorder="1" applyAlignment="1" applyProtection="1">
      <alignment horizontal="right" vertical="center"/>
    </xf>
    <xf numFmtId="0" fontId="8" fillId="3" borderId="0" xfId="0" applyFont="1" applyFill="1" applyBorder="1" applyAlignment="1" applyProtection="1">
      <alignment horizontal="left" vertical="center" wrapText="1"/>
    </xf>
    <xf numFmtId="2" fontId="8" fillId="3" borderId="0" xfId="0" applyNumberFormat="1" applyFont="1" applyFill="1" applyBorder="1" applyAlignment="1" applyProtection="1">
      <alignment horizontal="right" vertical="center"/>
    </xf>
    <xf numFmtId="0" fontId="8" fillId="0" borderId="0" xfId="0" applyFont="1" applyBorder="1" applyAlignment="1" applyProtection="1">
      <alignment horizontal="right" vertical="center"/>
    </xf>
    <xf numFmtId="0" fontId="0" fillId="0" borderId="0" xfId="0" applyBorder="1" applyAlignment="1">
      <alignment vertical="center"/>
    </xf>
    <xf numFmtId="3" fontId="8" fillId="0" borderId="0" xfId="0" applyNumberFormat="1" applyFont="1" applyBorder="1" applyAlignment="1" applyProtection="1">
      <alignment horizontal="right" vertical="center"/>
    </xf>
    <xf numFmtId="3" fontId="0" fillId="0" borderId="0" xfId="0" applyNumberFormat="1" applyBorder="1" applyAlignment="1">
      <alignment vertical="center"/>
    </xf>
    <xf numFmtId="49" fontId="18" fillId="0" borderId="0" xfId="0" applyNumberFormat="1" applyFont="1" applyBorder="1" applyAlignment="1" applyProtection="1">
      <alignment horizontal="center" vertical="center"/>
    </xf>
    <xf numFmtId="0" fontId="18" fillId="0" borderId="0" xfId="0" applyFont="1" applyBorder="1" applyAlignment="1" applyProtection="1"/>
    <xf numFmtId="0" fontId="0" fillId="0" borderId="0" xfId="0" applyFill="1" applyBorder="1" applyAlignment="1" applyProtection="1"/>
    <xf numFmtId="0" fontId="2" fillId="3" borderId="0" xfId="0" applyFont="1" applyFill="1" applyBorder="1" applyAlignment="1" applyProtection="1">
      <alignment horizontal="right" vertical="center"/>
    </xf>
    <xf numFmtId="0" fontId="0" fillId="0" borderId="0" xfId="0" applyBorder="1" applyAlignment="1">
      <alignment horizontal="right" vertical="center"/>
    </xf>
    <xf numFmtId="1" fontId="2" fillId="3" borderId="0" xfId="0" applyNumberFormat="1" applyFont="1" applyFill="1" applyBorder="1" applyAlignment="1" applyProtection="1">
      <alignment horizontal="right" vertical="center"/>
    </xf>
    <xf numFmtId="1" fontId="0" fillId="0" borderId="0" xfId="0" applyNumberFormat="1" applyBorder="1" applyAlignment="1">
      <alignment horizontal="right" vertical="center"/>
    </xf>
    <xf numFmtId="0" fontId="27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2" fontId="0" fillId="0" borderId="0" xfId="0" applyNumberFormat="1" applyBorder="1" applyAlignment="1">
      <alignment horizontal="right" vertical="center"/>
    </xf>
    <xf numFmtId="0" fontId="2" fillId="0" borderId="22" xfId="0" applyFont="1" applyBorder="1" applyAlignment="1">
      <alignment horizontal="right" vertical="center"/>
    </xf>
    <xf numFmtId="0" fontId="2" fillId="3" borderId="0" xfId="0" applyFont="1" applyFill="1" applyBorder="1" applyAlignment="1" applyProtection="1">
      <alignment horizontal="left" vertical="center" wrapText="1"/>
    </xf>
    <xf numFmtId="0" fontId="1" fillId="3" borderId="36" xfId="0" applyFont="1" applyFill="1" applyBorder="1" applyAlignment="1" applyProtection="1">
      <alignment horizontal="left" vertical="center"/>
    </xf>
    <xf numFmtId="0" fontId="0" fillId="0" borderId="37" xfId="0" applyBorder="1" applyAlignment="1">
      <alignment vertical="center"/>
    </xf>
    <xf numFmtId="2" fontId="0" fillId="0" borderId="22" xfId="0" applyNumberFormat="1" applyBorder="1" applyAlignment="1" applyProtection="1">
      <alignment horizontal="right" vertical="center"/>
    </xf>
    <xf numFmtId="2" fontId="3" fillId="0" borderId="22" xfId="0" applyNumberFormat="1" applyFont="1" applyFill="1" applyBorder="1" applyAlignment="1" applyProtection="1">
      <alignment horizontal="right" vertical="center"/>
    </xf>
    <xf numFmtId="164" fontId="0" fillId="0" borderId="22" xfId="0" applyNumberFormat="1" applyBorder="1" applyAlignment="1" applyProtection="1">
      <alignment horizontal="right" vertical="center"/>
    </xf>
    <xf numFmtId="164" fontId="1" fillId="0" borderId="22" xfId="0" applyNumberFormat="1" applyFont="1" applyFill="1" applyBorder="1" applyAlignment="1" applyProtection="1">
      <alignment horizontal="right" vertical="center"/>
    </xf>
    <xf numFmtId="0" fontId="0" fillId="0" borderId="0" xfId="0" applyAlignment="1" applyProtection="1">
      <alignment horizontal="right" vertical="center"/>
    </xf>
    <xf numFmtId="2" fontId="0" fillId="0" borderId="0" xfId="0" applyNumberFormat="1" applyBorder="1" applyAlignment="1" applyProtection="1">
      <alignment horizontal="right" vertical="center"/>
    </xf>
    <xf numFmtId="2" fontId="0" fillId="0" borderId="0" xfId="0" applyNumberFormat="1" applyAlignment="1" applyProtection="1">
      <alignment horizontal="right" vertical="center"/>
    </xf>
    <xf numFmtId="0" fontId="2" fillId="0" borderId="0" xfId="0" applyFont="1" applyAlignment="1" applyProtection="1">
      <alignment horizontal="center" vertical="center"/>
    </xf>
    <xf numFmtId="0" fontId="27" fillId="0" borderId="0" xfId="0" applyFont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 wrapText="1"/>
    </xf>
    <xf numFmtId="2" fontId="2" fillId="3" borderId="0" xfId="0" applyNumberFormat="1" applyFont="1" applyFill="1" applyBorder="1" applyAlignment="1" applyProtection="1">
      <alignment horizontal="right" vertical="center"/>
    </xf>
    <xf numFmtId="3" fontId="2" fillId="3" borderId="0" xfId="0" applyNumberFormat="1" applyFont="1" applyFill="1" applyBorder="1" applyAlignment="1" applyProtection="1">
      <alignment vertical="center"/>
    </xf>
    <xf numFmtId="3" fontId="2" fillId="3" borderId="0" xfId="0" applyNumberFormat="1" applyFont="1" applyFill="1" applyBorder="1" applyAlignment="1" applyProtection="1">
      <alignment horizontal="right" vertical="center"/>
    </xf>
    <xf numFmtId="0" fontId="8" fillId="3" borderId="30" xfId="0" applyFont="1" applyFill="1" applyBorder="1" applyAlignment="1" applyProtection="1">
      <alignment horizontal="left" vertical="center"/>
    </xf>
    <xf numFmtId="2" fontId="2" fillId="0" borderId="0" xfId="0" applyNumberFormat="1" applyFont="1" applyAlignment="1" applyProtection="1">
      <alignment horizontal="center" vertical="center"/>
      <protection locked="0"/>
    </xf>
    <xf numFmtId="0" fontId="1" fillId="3" borderId="21" xfId="0" applyFont="1" applyFill="1" applyBorder="1" applyAlignment="1" applyProtection="1">
      <alignment horizontal="left" vertical="center"/>
    </xf>
    <xf numFmtId="0" fontId="3" fillId="3" borderId="22" xfId="0" applyFont="1" applyFill="1" applyBorder="1" applyAlignment="1" applyProtection="1">
      <alignment horizontal="left" vertical="center"/>
    </xf>
    <xf numFmtId="0" fontId="1" fillId="3" borderId="34" xfId="0" applyFont="1" applyFill="1" applyBorder="1" applyAlignment="1" applyProtection="1">
      <alignment horizontal="left" vertical="center"/>
    </xf>
    <xf numFmtId="3" fontId="1" fillId="3" borderId="37" xfId="0" applyNumberFormat="1" applyFont="1" applyFill="1" applyBorder="1" applyAlignment="1" applyProtection="1">
      <alignment horizontal="right" vertical="center"/>
    </xf>
    <xf numFmtId="3" fontId="3" fillId="3" borderId="37" xfId="0" applyNumberFormat="1" applyFont="1" applyFill="1" applyBorder="1" applyAlignment="1" applyProtection="1">
      <alignment horizontal="right" vertical="center"/>
    </xf>
    <xf numFmtId="3" fontId="8" fillId="3" borderId="41" xfId="0" applyNumberFormat="1" applyFont="1" applyFill="1" applyBorder="1" applyAlignment="1" applyProtection="1">
      <alignment horizontal="right" vertical="center"/>
    </xf>
    <xf numFmtId="1" fontId="1" fillId="0" borderId="0" xfId="0" applyNumberFormat="1" applyFont="1" applyBorder="1" applyAlignment="1" applyProtection="1">
      <alignment horizontal="center" vertical="center"/>
      <protection locked="0"/>
    </xf>
    <xf numFmtId="164" fontId="2" fillId="3" borderId="38" xfId="0" applyNumberFormat="1" applyFont="1" applyFill="1" applyBorder="1" applyAlignment="1" applyProtection="1">
      <alignment horizontal="center" vertical="center" readingOrder="1"/>
    </xf>
    <xf numFmtId="0" fontId="3" fillId="0" borderId="38" xfId="0" applyFont="1" applyBorder="1" applyAlignment="1" applyProtection="1">
      <alignment vertical="center"/>
    </xf>
    <xf numFmtId="164" fontId="3" fillId="3" borderId="37" xfId="0" applyNumberFormat="1" applyFont="1" applyFill="1" applyBorder="1" applyAlignment="1" applyProtection="1">
      <alignment horizontal="center" vertical="center"/>
    </xf>
    <xf numFmtId="0" fontId="3" fillId="0" borderId="37" xfId="0" applyFont="1" applyBorder="1" applyAlignment="1" applyProtection="1">
      <alignment vertical="center"/>
    </xf>
    <xf numFmtId="164" fontId="1" fillId="0" borderId="37" xfId="0" applyNumberFormat="1" applyFont="1" applyFill="1" applyBorder="1" applyAlignment="1" applyProtection="1">
      <alignment horizontal="center" vertical="center"/>
    </xf>
    <xf numFmtId="164" fontId="5" fillId="3" borderId="28" xfId="0" applyNumberFormat="1" applyFont="1" applyFill="1" applyBorder="1" applyAlignment="1" applyProtection="1">
      <alignment horizontal="right" vertical="center"/>
    </xf>
    <xf numFmtId="0" fontId="1" fillId="0" borderId="22" xfId="0" applyFont="1" applyBorder="1" applyAlignment="1">
      <alignment vertical="center"/>
    </xf>
    <xf numFmtId="0" fontId="1" fillId="0" borderId="22" xfId="0" applyFont="1" applyBorder="1" applyAlignment="1">
      <alignment horizontal="right" vertical="center"/>
    </xf>
    <xf numFmtId="0" fontId="1" fillId="0" borderId="34" xfId="0" applyFont="1" applyBorder="1" applyAlignment="1" applyProtection="1">
      <alignment vertical="center"/>
    </xf>
    <xf numFmtId="1" fontId="0" fillId="2" borderId="27" xfId="0" applyNumberFormat="1" applyFill="1" applyBorder="1" applyAlignment="1" applyProtection="1">
      <alignment horizontal="left" vertical="center"/>
      <protection locked="0"/>
    </xf>
    <xf numFmtId="164" fontId="5" fillId="3" borderId="23" xfId="0" applyNumberFormat="1" applyFont="1" applyFill="1" applyBorder="1" applyAlignment="1" applyProtection="1">
      <alignment horizontal="right" vertical="center"/>
    </xf>
    <xf numFmtId="3" fontId="3" fillId="0" borderId="0" xfId="0" applyNumberFormat="1" applyFont="1" applyAlignment="1" applyProtection="1">
      <alignment horizontal="center"/>
      <protection locked="0"/>
    </xf>
    <xf numFmtId="0" fontId="3" fillId="3" borderId="22" xfId="0" applyFont="1" applyFill="1" applyBorder="1" applyAlignment="1" applyProtection="1">
      <alignment horizontal="right" vertical="center"/>
    </xf>
    <xf numFmtId="3" fontId="8" fillId="3" borderId="27" xfId="0" applyNumberFormat="1" applyFont="1" applyFill="1" applyBorder="1" applyAlignment="1" applyProtection="1">
      <alignment horizontal="right" vertical="center"/>
    </xf>
    <xf numFmtId="3" fontId="20" fillId="0" borderId="34" xfId="0" applyNumberFormat="1" applyFont="1" applyBorder="1" applyAlignment="1" applyProtection="1">
      <alignment horizontal="left" vertical="center"/>
    </xf>
    <xf numFmtId="3" fontId="20" fillId="0" borderId="28" xfId="0" applyNumberFormat="1" applyFont="1" applyBorder="1" applyAlignment="1" applyProtection="1">
      <alignment horizontal="left" vertical="center"/>
    </xf>
    <xf numFmtId="0" fontId="8" fillId="3" borderId="34" xfId="0" applyFont="1" applyFill="1" applyBorder="1" applyAlignment="1" applyProtection="1">
      <alignment horizontal="left" vertical="center"/>
    </xf>
    <xf numFmtId="1" fontId="8" fillId="0" borderId="27" xfId="0" applyNumberFormat="1" applyFont="1" applyFill="1" applyBorder="1" applyAlignment="1" applyProtection="1">
      <alignment horizontal="right" vertical="center"/>
    </xf>
    <xf numFmtId="0" fontId="1" fillId="0" borderId="37" xfId="0" applyFont="1" applyBorder="1" applyAlignment="1" applyProtection="1">
      <alignment vertical="center"/>
    </xf>
    <xf numFmtId="1" fontId="1" fillId="0" borderId="37" xfId="0" applyNumberFormat="1" applyFont="1" applyBorder="1" applyAlignment="1" applyProtection="1">
      <alignment vertical="center"/>
    </xf>
    <xf numFmtId="166" fontId="8" fillId="0" borderId="37" xfId="0" applyNumberFormat="1" applyFont="1" applyBorder="1" applyAlignment="1" applyProtection="1">
      <alignment vertical="center" wrapText="1"/>
    </xf>
    <xf numFmtId="2" fontId="8" fillId="3" borderId="28" xfId="0" applyNumberFormat="1" applyFont="1" applyFill="1" applyBorder="1" applyAlignment="1" applyProtection="1">
      <alignment horizontal="left" vertical="center"/>
    </xf>
    <xf numFmtId="0" fontId="20" fillId="3" borderId="22" xfId="0" applyFont="1" applyFill="1" applyBorder="1" applyAlignment="1" applyProtection="1">
      <alignment horizontal="left" vertical="center"/>
    </xf>
    <xf numFmtId="0" fontId="20" fillId="0" borderId="22" xfId="0" applyFont="1" applyBorder="1" applyAlignment="1">
      <alignment horizontal="right" vertical="center"/>
    </xf>
    <xf numFmtId="0" fontId="20" fillId="3" borderId="22" xfId="0" applyFont="1" applyFill="1" applyBorder="1" applyAlignment="1" applyProtection="1">
      <alignment horizontal="center" vertical="center"/>
    </xf>
    <xf numFmtId="1" fontId="2" fillId="0" borderId="27" xfId="0" applyNumberFormat="1" applyFont="1" applyBorder="1" applyAlignment="1">
      <alignment vertical="center"/>
    </xf>
    <xf numFmtId="2" fontId="1" fillId="3" borderId="20" xfId="0" applyNumberFormat="1" applyFont="1" applyFill="1" applyBorder="1" applyAlignment="1" applyProtection="1">
      <alignment horizontal="right" vertical="center"/>
    </xf>
    <xf numFmtId="0" fontId="1" fillId="3" borderId="19" xfId="0" applyFont="1" applyFill="1" applyBorder="1" applyAlignment="1" applyProtection="1">
      <alignment horizontal="center" vertical="center"/>
    </xf>
    <xf numFmtId="3" fontId="1" fillId="0" borderId="0" xfId="0" applyNumberFormat="1" applyFont="1" applyBorder="1" applyAlignment="1" applyProtection="1">
      <alignment horizontal="left" vertical="center"/>
      <protection locked="0"/>
    </xf>
    <xf numFmtId="0" fontId="2" fillId="0" borderId="22" xfId="0" applyFont="1" applyBorder="1" applyAlignment="1">
      <alignment horizontal="center" vertical="center"/>
    </xf>
    <xf numFmtId="1" fontId="1" fillId="0" borderId="22" xfId="0" applyNumberFormat="1" applyFont="1" applyFill="1" applyBorder="1" applyAlignment="1" applyProtection="1">
      <alignment horizontal="center" vertical="center"/>
    </xf>
    <xf numFmtId="0" fontId="8" fillId="3" borderId="51" xfId="0" applyFont="1" applyFill="1" applyBorder="1" applyAlignment="1" applyProtection="1">
      <alignment horizontal="left" vertical="center"/>
    </xf>
    <xf numFmtId="1" fontId="2" fillId="3" borderId="27" xfId="0" applyNumberFormat="1" applyFont="1" applyFill="1" applyBorder="1" applyAlignment="1" applyProtection="1">
      <alignment horizontal="right" vertical="center"/>
    </xf>
    <xf numFmtId="3" fontId="8" fillId="3" borderId="52" xfId="0" applyNumberFormat="1" applyFont="1" applyFill="1" applyBorder="1" applyAlignment="1" applyProtection="1">
      <alignment horizontal="right" vertical="center"/>
    </xf>
    <xf numFmtId="0" fontId="2" fillId="3" borderId="28" xfId="0" applyFont="1" applyFill="1" applyBorder="1" applyAlignment="1" applyProtection="1">
      <alignment horizontal="left" vertical="center"/>
    </xf>
    <xf numFmtId="0" fontId="2" fillId="3" borderId="37" xfId="0" applyFont="1" applyFill="1" applyBorder="1" applyAlignment="1" applyProtection="1">
      <alignment horizontal="right" vertical="center"/>
    </xf>
    <xf numFmtId="0" fontId="8" fillId="3" borderId="37" xfId="0" applyFont="1" applyFill="1" applyBorder="1" applyAlignment="1" applyProtection="1">
      <alignment vertical="center"/>
    </xf>
    <xf numFmtId="3" fontId="2" fillId="0" borderId="34" xfId="0" applyNumberFormat="1" applyFont="1" applyBorder="1" applyAlignment="1" applyProtection="1">
      <alignment horizontal="left" vertical="center"/>
    </xf>
    <xf numFmtId="3" fontId="8" fillId="3" borderId="37" xfId="0" applyNumberFormat="1" applyFont="1" applyFill="1" applyBorder="1" applyAlignment="1" applyProtection="1">
      <alignment vertical="center"/>
    </xf>
    <xf numFmtId="3" fontId="8" fillId="3" borderId="27" xfId="0" applyNumberFormat="1" applyFont="1" applyFill="1" applyBorder="1" applyAlignment="1" applyProtection="1">
      <alignment vertical="center"/>
    </xf>
    <xf numFmtId="164" fontId="0" fillId="0" borderId="0" xfId="0" applyNumberFormat="1" applyProtection="1">
      <protection locked="0"/>
    </xf>
    <xf numFmtId="0" fontId="17" fillId="3" borderId="0" xfId="0" applyFont="1" applyFill="1" applyBorder="1" applyAlignment="1" applyProtection="1">
      <alignment horizontal="left" vertical="center" wrapText="1"/>
    </xf>
    <xf numFmtId="0" fontId="1" fillId="5" borderId="11" xfId="0" applyFont="1" applyFill="1" applyBorder="1" applyAlignment="1" applyProtection="1">
      <alignment horizontal="center" vertical="center"/>
      <protection locked="0"/>
    </xf>
    <xf numFmtId="0" fontId="1" fillId="5" borderId="13" xfId="0" applyFont="1" applyFill="1" applyBorder="1" applyAlignment="1" applyProtection="1">
      <alignment horizontal="center" vertical="center"/>
      <protection locked="0"/>
    </xf>
    <xf numFmtId="0" fontId="1" fillId="5" borderId="22" xfId="0" applyFont="1" applyFill="1" applyBorder="1" applyAlignment="1" applyProtection="1">
      <alignment horizontal="center" vertical="center"/>
      <protection locked="0"/>
    </xf>
    <xf numFmtId="9" fontId="1" fillId="5" borderId="22" xfId="0" applyNumberFormat="1" applyFont="1" applyFill="1" applyBorder="1" applyAlignment="1" applyProtection="1">
      <alignment horizontal="center" vertical="center"/>
      <protection locked="0"/>
    </xf>
    <xf numFmtId="0" fontId="1" fillId="5" borderId="25" xfId="0" applyFont="1" applyFill="1" applyBorder="1" applyAlignment="1" applyProtection="1">
      <alignment horizontal="center" vertical="center"/>
      <protection locked="0"/>
    </xf>
    <xf numFmtId="9" fontId="1" fillId="5" borderId="25" xfId="0" applyNumberFormat="1" applyFont="1" applyFill="1" applyBorder="1" applyAlignment="1" applyProtection="1">
      <alignment horizontal="center" vertical="center"/>
      <protection locked="0"/>
    </xf>
    <xf numFmtId="0" fontId="3" fillId="7" borderId="22" xfId="0" applyFont="1" applyFill="1" applyBorder="1" applyAlignment="1" applyProtection="1">
      <alignment horizontal="center" vertical="center"/>
      <protection locked="0"/>
    </xf>
    <xf numFmtId="1" fontId="1" fillId="5" borderId="22" xfId="0" applyNumberFormat="1" applyFont="1" applyFill="1" applyBorder="1" applyAlignment="1" applyProtection="1">
      <alignment horizontal="center" vertical="center"/>
      <protection locked="0"/>
    </xf>
    <xf numFmtId="1" fontId="0" fillId="5" borderId="22" xfId="0" applyNumberFormat="1" applyFill="1" applyBorder="1" applyAlignment="1" applyProtection="1">
      <alignment horizontal="center" vertical="center"/>
      <protection locked="0"/>
    </xf>
    <xf numFmtId="1" fontId="1" fillId="7" borderId="22" xfId="0" applyNumberFormat="1" applyFont="1" applyFill="1" applyBorder="1" applyAlignment="1" applyProtection="1">
      <alignment horizontal="center" vertical="center"/>
      <protection locked="0"/>
    </xf>
    <xf numFmtId="1" fontId="3" fillId="5" borderId="22" xfId="0" applyNumberFormat="1" applyFont="1" applyFill="1" applyBorder="1" applyAlignment="1" applyProtection="1">
      <alignment horizontal="center" vertical="center"/>
      <protection locked="0"/>
    </xf>
    <xf numFmtId="0" fontId="3" fillId="5" borderId="22" xfId="0" applyFont="1" applyFill="1" applyBorder="1" applyAlignment="1" applyProtection="1">
      <alignment horizontal="center" vertical="center"/>
      <protection locked="0"/>
    </xf>
    <xf numFmtId="0" fontId="12" fillId="5" borderId="22" xfId="0" applyFont="1" applyFill="1" applyBorder="1" applyAlignment="1" applyProtection="1">
      <alignment horizontal="center" vertical="center"/>
      <protection locked="0"/>
    </xf>
    <xf numFmtId="164" fontId="0" fillId="5" borderId="22" xfId="0" applyNumberFormat="1" applyFill="1" applyBorder="1" applyAlignment="1" applyProtection="1">
      <alignment horizontal="center" vertical="center"/>
      <protection locked="0"/>
    </xf>
    <xf numFmtId="164" fontId="0" fillId="5" borderId="27" xfId="0" applyNumberFormat="1" applyFill="1" applyBorder="1" applyAlignment="1" applyProtection="1">
      <alignment horizontal="center" vertical="center"/>
      <protection locked="0"/>
    </xf>
    <xf numFmtId="1" fontId="0" fillId="5" borderId="27" xfId="0" applyNumberFormat="1" applyFill="1" applyBorder="1" applyAlignment="1" applyProtection="1">
      <alignment horizontal="right" vertical="center"/>
      <protection locked="0"/>
    </xf>
    <xf numFmtId="0" fontId="10" fillId="7" borderId="1" xfId="0" applyFont="1" applyFill="1" applyBorder="1" applyAlignment="1" applyProtection="1">
      <alignment horizontal="right" vertical="center"/>
    </xf>
    <xf numFmtId="2" fontId="1" fillId="5" borderId="22" xfId="0" applyNumberFormat="1" applyFont="1" applyFill="1" applyBorder="1" applyAlignment="1" applyProtection="1">
      <alignment horizontal="right" vertical="center"/>
      <protection locked="0"/>
    </xf>
    <xf numFmtId="1" fontId="1" fillId="5" borderId="25" xfId="0" applyNumberFormat="1" applyFont="1" applyFill="1" applyBorder="1" applyAlignment="1" applyProtection="1">
      <alignment horizontal="center" vertical="center"/>
      <protection locked="0"/>
    </xf>
    <xf numFmtId="2" fontId="1" fillId="5" borderId="25" xfId="0" applyNumberFormat="1" applyFont="1" applyFill="1" applyBorder="1" applyAlignment="1" applyProtection="1">
      <alignment horizontal="right" vertical="center"/>
      <protection locked="0"/>
    </xf>
    <xf numFmtId="1" fontId="1" fillId="5" borderId="27" xfId="0" applyNumberFormat="1" applyFont="1" applyFill="1" applyBorder="1" applyAlignment="1" applyProtection="1">
      <alignment horizontal="center" vertical="center"/>
      <protection locked="0"/>
    </xf>
    <xf numFmtId="2" fontId="1" fillId="5" borderId="27" xfId="0" applyNumberFormat="1" applyFont="1" applyFill="1" applyBorder="1" applyAlignment="1" applyProtection="1">
      <alignment horizontal="right" vertical="center"/>
      <protection locked="0"/>
    </xf>
    <xf numFmtId="1" fontId="1" fillId="5" borderId="29" xfId="0" applyNumberFormat="1" applyFont="1" applyFill="1" applyBorder="1" applyAlignment="1" applyProtection="1">
      <alignment horizontal="center" vertical="center"/>
      <protection locked="0"/>
    </xf>
    <xf numFmtId="2" fontId="1" fillId="5" borderId="29" xfId="0" applyNumberFormat="1" applyFont="1" applyFill="1" applyBorder="1" applyAlignment="1" applyProtection="1">
      <alignment horizontal="right" vertical="center"/>
      <protection locked="0"/>
    </xf>
    <xf numFmtId="164" fontId="0" fillId="5" borderId="3" xfId="0" applyNumberFormat="1" applyFill="1" applyBorder="1" applyAlignment="1" applyProtection="1">
      <alignment horizontal="right"/>
      <protection locked="0"/>
    </xf>
    <xf numFmtId="2" fontId="23" fillId="3" borderId="22" xfId="0" applyNumberFormat="1" applyFont="1" applyFill="1" applyBorder="1" applyAlignment="1" applyProtection="1">
      <alignment horizontal="right" vertical="center"/>
    </xf>
    <xf numFmtId="2" fontId="20" fillId="3" borderId="25" xfId="0" applyNumberFormat="1" applyFont="1" applyFill="1" applyBorder="1" applyAlignment="1" applyProtection="1">
      <alignment horizontal="right" vertical="center"/>
    </xf>
    <xf numFmtId="3" fontId="23" fillId="3" borderId="22" xfId="0" applyNumberFormat="1" applyFont="1" applyFill="1" applyBorder="1" applyAlignment="1" applyProtection="1">
      <alignment horizontal="center" vertical="center"/>
    </xf>
    <xf numFmtId="3" fontId="20" fillId="3" borderId="25" xfId="0" applyNumberFormat="1" applyFont="1" applyFill="1" applyBorder="1" applyAlignment="1" applyProtection="1">
      <alignment vertical="center"/>
    </xf>
    <xf numFmtId="3" fontId="20" fillId="3" borderId="26" xfId="0" applyNumberFormat="1" applyFont="1" applyFill="1" applyBorder="1" applyAlignment="1" applyProtection="1">
      <alignment horizontal="right" vertical="center"/>
    </xf>
    <xf numFmtId="3" fontId="23" fillId="3" borderId="22" xfId="0" applyNumberFormat="1" applyFont="1" applyFill="1" applyBorder="1" applyAlignment="1" applyProtection="1">
      <alignment vertical="center"/>
    </xf>
    <xf numFmtId="3" fontId="23" fillId="3" borderId="23" xfId="0" applyNumberFormat="1" applyFont="1" applyFill="1" applyBorder="1" applyAlignment="1" applyProtection="1">
      <alignment horizontal="right" vertical="center"/>
    </xf>
    <xf numFmtId="164" fontId="2" fillId="0" borderId="0" xfId="0" applyNumberFormat="1" applyFont="1" applyAlignment="1" applyProtection="1">
      <alignment horizontal="center" vertical="center"/>
    </xf>
    <xf numFmtId="0" fontId="1" fillId="3" borderId="36" xfId="0" applyFont="1" applyFill="1" applyBorder="1" applyAlignment="1" applyProtection="1">
      <alignment horizontal="left" vertical="center" wrapText="1"/>
    </xf>
    <xf numFmtId="0" fontId="1" fillId="3" borderId="37" xfId="0" applyFont="1" applyFill="1" applyBorder="1" applyAlignment="1" applyProtection="1">
      <alignment horizontal="left" vertical="center" wrapText="1"/>
    </xf>
    <xf numFmtId="1" fontId="1" fillId="5" borderId="44" xfId="0" applyNumberFormat="1" applyFont="1" applyFill="1" applyBorder="1" applyAlignment="1" applyProtection="1">
      <alignment horizontal="left" vertical="center"/>
      <protection locked="0"/>
    </xf>
    <xf numFmtId="0" fontId="0" fillId="5" borderId="35" xfId="0" applyFill="1" applyBorder="1" applyAlignment="1" applyProtection="1">
      <alignment horizontal="left" vertical="center"/>
      <protection locked="0"/>
    </xf>
    <xf numFmtId="1" fontId="31" fillId="5" borderId="29" xfId="0" applyNumberFormat="1" applyFont="1" applyFill="1" applyBorder="1" applyAlignment="1" applyProtection="1">
      <alignment horizontal="left" vertical="center"/>
      <protection locked="0"/>
    </xf>
    <xf numFmtId="0" fontId="31" fillId="5" borderId="35" xfId="0" applyFont="1" applyFill="1" applyBorder="1" applyAlignment="1" applyProtection="1">
      <alignment horizontal="left" vertical="center"/>
      <protection locked="0"/>
    </xf>
    <xf numFmtId="164" fontId="1" fillId="5" borderId="29" xfId="0" applyNumberFormat="1" applyFont="1" applyFill="1" applyBorder="1" applyAlignment="1" applyProtection="1">
      <alignment horizontal="right" vertical="center"/>
      <protection locked="0"/>
    </xf>
    <xf numFmtId="164" fontId="0" fillId="5" borderId="41" xfId="0" applyNumberFormat="1" applyFill="1" applyBorder="1" applyAlignment="1" applyProtection="1">
      <alignment horizontal="right" vertical="center"/>
      <protection locked="0"/>
    </xf>
    <xf numFmtId="164" fontId="0" fillId="5" borderId="35" xfId="0" applyNumberFormat="1" applyFill="1" applyBorder="1" applyAlignment="1" applyProtection="1">
      <alignment horizontal="right" vertical="center"/>
      <protection locked="0"/>
    </xf>
    <xf numFmtId="0" fontId="0" fillId="0" borderId="29" xfId="0" applyBorder="1" applyAlignment="1" applyProtection="1">
      <alignment horizontal="right" vertical="center"/>
    </xf>
    <xf numFmtId="0" fontId="0" fillId="0" borderId="41" xfId="0" applyBorder="1" applyAlignment="1">
      <alignment horizontal="right" vertical="center"/>
    </xf>
    <xf numFmtId="0" fontId="0" fillId="0" borderId="30" xfId="0" applyBorder="1" applyAlignment="1">
      <alignment horizontal="right" vertical="center"/>
    </xf>
    <xf numFmtId="0" fontId="8" fillId="3" borderId="50" xfId="0" applyFont="1" applyFill="1" applyBorder="1" applyAlignment="1" applyProtection="1">
      <alignment horizontal="right" vertical="center"/>
    </xf>
    <xf numFmtId="0" fontId="0" fillId="0" borderId="5" xfId="0" applyBorder="1" applyAlignment="1" applyProtection="1">
      <alignment horizontal="right" vertical="center"/>
    </xf>
    <xf numFmtId="49" fontId="1" fillId="3" borderId="48" xfId="0" applyNumberFormat="1" applyFont="1" applyFill="1" applyBorder="1" applyAlignment="1" applyProtection="1">
      <alignment horizontal="left" vertical="center"/>
    </xf>
    <xf numFmtId="0" fontId="33" fillId="0" borderId="3" xfId="0" applyFont="1" applyBorder="1" applyAlignment="1">
      <alignment horizontal="left"/>
    </xf>
    <xf numFmtId="49" fontId="33" fillId="0" borderId="50" xfId="0" applyNumberFormat="1" applyFont="1" applyBorder="1" applyAlignment="1" applyProtection="1">
      <alignment horizontal="left" vertical="center"/>
    </xf>
    <xf numFmtId="0" fontId="33" fillId="0" borderId="5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54" xfId="0" applyFont="1" applyBorder="1" applyAlignment="1">
      <alignment horizontal="left"/>
    </xf>
    <xf numFmtId="49" fontId="1" fillId="0" borderId="50" xfId="0" applyNumberFormat="1" applyFont="1" applyBorder="1" applyAlignment="1" applyProtection="1">
      <alignment horizontal="left" vertical="center"/>
    </xf>
    <xf numFmtId="0" fontId="1" fillId="0" borderId="5" xfId="0" applyFont="1" applyBorder="1" applyAlignment="1">
      <alignment horizontal="left"/>
    </xf>
    <xf numFmtId="0" fontId="1" fillId="0" borderId="55" xfId="0" applyFont="1" applyBorder="1" applyAlignment="1">
      <alignment horizontal="left"/>
    </xf>
    <xf numFmtId="2" fontId="0" fillId="0" borderId="22" xfId="0" applyNumberFormat="1" applyBorder="1" applyAlignment="1">
      <alignment horizontal="right" vertical="center"/>
    </xf>
    <xf numFmtId="2" fontId="0" fillId="0" borderId="23" xfId="0" applyNumberFormat="1" applyBorder="1" applyAlignment="1">
      <alignment horizontal="right" vertical="center"/>
    </xf>
    <xf numFmtId="0" fontId="3" fillId="0" borderId="0" xfId="0" applyFont="1" applyAlignment="1" applyProtection="1">
      <alignment vertical="center"/>
    </xf>
    <xf numFmtId="0" fontId="0" fillId="0" borderId="0" xfId="0" applyAlignment="1"/>
    <xf numFmtId="0" fontId="2" fillId="3" borderId="40" xfId="0" applyFont="1" applyFill="1" applyBorder="1" applyAlignment="1" applyProtection="1">
      <alignment horizontal="left" vertical="center" wrapText="1"/>
    </xf>
    <xf numFmtId="0" fontId="0" fillId="0" borderId="38" xfId="0" applyBorder="1" applyAlignment="1">
      <alignment vertical="center" wrapText="1"/>
    </xf>
    <xf numFmtId="0" fontId="0" fillId="0" borderId="38" xfId="0" applyBorder="1" applyAlignment="1">
      <alignment vertical="center"/>
    </xf>
    <xf numFmtId="0" fontId="0" fillId="0" borderId="39" xfId="0" applyBorder="1" applyAlignment="1">
      <alignment vertical="center"/>
    </xf>
    <xf numFmtId="0" fontId="2" fillId="0" borderId="21" xfId="0" applyFont="1" applyBorder="1" applyAlignment="1" applyProtection="1">
      <alignment vertical="center"/>
    </xf>
    <xf numFmtId="0" fontId="2" fillId="0" borderId="22" xfId="0" applyFont="1" applyBorder="1" applyAlignment="1" applyProtection="1">
      <alignment vertical="center"/>
    </xf>
    <xf numFmtId="0" fontId="2" fillId="0" borderId="27" xfId="0" applyFont="1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1" fillId="0" borderId="22" xfId="0" applyFont="1" applyBorder="1" applyAlignment="1" applyProtection="1">
      <alignment vertical="center"/>
    </xf>
    <xf numFmtId="0" fontId="0" fillId="0" borderId="22" xfId="0" applyBorder="1" applyAlignment="1">
      <alignment vertical="center"/>
    </xf>
    <xf numFmtId="0" fontId="1" fillId="0" borderId="19" xfId="0" applyFont="1" applyBorder="1" applyAlignment="1" applyProtection="1">
      <alignment vertical="center"/>
    </xf>
    <xf numFmtId="0" fontId="1" fillId="0" borderId="19" xfId="0" applyFont="1" applyBorder="1" applyAlignment="1">
      <alignment vertical="center"/>
    </xf>
    <xf numFmtId="0" fontId="1" fillId="3" borderId="21" xfId="0" applyFont="1" applyFill="1" applyBorder="1" applyAlignment="1" applyProtection="1">
      <alignment horizontal="left" vertical="center"/>
    </xf>
    <xf numFmtId="0" fontId="0" fillId="0" borderId="22" xfId="0" applyBorder="1" applyAlignment="1">
      <alignment horizontal="left" vertical="center"/>
    </xf>
    <xf numFmtId="0" fontId="5" fillId="3" borderId="21" xfId="0" applyFont="1" applyFill="1" applyBorder="1" applyAlignment="1" applyProtection="1">
      <alignment horizontal="left" vertical="center" wrapText="1"/>
    </xf>
    <xf numFmtId="0" fontId="0" fillId="0" borderId="22" xfId="0" applyBorder="1" applyAlignment="1" applyProtection="1">
      <alignment vertical="center"/>
    </xf>
    <xf numFmtId="2" fontId="1" fillId="5" borderId="27" xfId="0" applyNumberFormat="1" applyFont="1" applyFill="1" applyBorder="1" applyAlignment="1" applyProtection="1">
      <alignment horizontal="right" vertical="center"/>
      <protection locked="0"/>
    </xf>
    <xf numFmtId="2" fontId="0" fillId="5" borderId="34" xfId="0" applyNumberFormat="1" applyFill="1" applyBorder="1" applyAlignment="1" applyProtection="1">
      <alignment horizontal="right" vertical="center"/>
      <protection locked="0"/>
    </xf>
    <xf numFmtId="0" fontId="1" fillId="3" borderId="53" xfId="0" applyFont="1" applyFill="1" applyBorder="1" applyAlignment="1" applyProtection="1">
      <alignment horizontal="right" vertical="center"/>
    </xf>
    <xf numFmtId="0" fontId="0" fillId="0" borderId="3" xfId="0" applyBorder="1" applyAlignment="1" applyProtection="1"/>
    <xf numFmtId="0" fontId="0" fillId="0" borderId="52" xfId="0" applyBorder="1" applyAlignment="1" applyProtection="1"/>
    <xf numFmtId="0" fontId="0" fillId="0" borderId="5" xfId="0" applyBorder="1" applyAlignment="1" applyProtection="1"/>
    <xf numFmtId="0" fontId="2" fillId="0" borderId="25" xfId="0" applyFont="1" applyBorder="1" applyAlignment="1" applyProtection="1">
      <alignment horizontal="right" vertical="center"/>
    </xf>
    <xf numFmtId="0" fontId="0" fillId="0" borderId="25" xfId="0" applyBorder="1" applyAlignment="1">
      <alignment vertical="center"/>
    </xf>
    <xf numFmtId="0" fontId="0" fillId="0" borderId="19" xfId="0" applyBorder="1" applyAlignment="1" applyProtection="1">
      <alignment vertical="center"/>
    </xf>
    <xf numFmtId="0" fontId="0" fillId="0" borderId="19" xfId="0" applyBorder="1" applyAlignment="1">
      <alignment vertical="center"/>
    </xf>
    <xf numFmtId="0" fontId="1" fillId="3" borderId="21" xfId="0" applyFont="1" applyFill="1" applyBorder="1" applyAlignment="1" applyProtection="1">
      <alignment horizontal="left" vertical="center" wrapText="1"/>
    </xf>
    <xf numFmtId="0" fontId="3" fillId="3" borderId="21" xfId="0" applyFont="1" applyFill="1" applyBorder="1" applyAlignment="1" applyProtection="1">
      <alignment horizontal="left" vertical="center" wrapText="1"/>
    </xf>
    <xf numFmtId="0" fontId="3" fillId="0" borderId="22" xfId="0" applyFont="1" applyBorder="1" applyAlignment="1" applyProtection="1">
      <alignment vertical="center"/>
    </xf>
    <xf numFmtId="0" fontId="1" fillId="3" borderId="36" xfId="0" applyFont="1" applyFill="1" applyBorder="1" applyAlignment="1" applyProtection="1">
      <alignment horizontal="left" vertical="center"/>
    </xf>
    <xf numFmtId="0" fontId="3" fillId="3" borderId="37" xfId="0" applyFont="1" applyFill="1" applyBorder="1" applyAlignment="1" applyProtection="1">
      <alignment horizontal="left" vertical="center"/>
    </xf>
    <xf numFmtId="0" fontId="0" fillId="0" borderId="37" xfId="0" applyBorder="1" applyAlignment="1" applyProtection="1">
      <alignment horizontal="left" vertical="center"/>
    </xf>
    <xf numFmtId="0" fontId="8" fillId="3" borderId="24" xfId="0" applyFont="1" applyFill="1" applyBorder="1" applyAlignment="1" applyProtection="1">
      <alignment horizontal="left" vertical="center" wrapText="1"/>
    </xf>
    <xf numFmtId="0" fontId="0" fillId="0" borderId="25" xfId="0" applyBorder="1" applyAlignment="1" applyProtection="1">
      <alignment vertical="center"/>
    </xf>
    <xf numFmtId="0" fontId="2" fillId="3" borderId="18" xfId="0" applyFont="1" applyFill="1" applyBorder="1" applyAlignment="1" applyProtection="1">
      <alignment horizontal="left" vertical="center" wrapText="1"/>
    </xf>
    <xf numFmtId="0" fontId="2" fillId="3" borderId="24" xfId="0" applyFont="1" applyFill="1" applyBorder="1" applyAlignment="1" applyProtection="1">
      <alignment horizontal="left" vertical="center" wrapText="1"/>
    </xf>
    <xf numFmtId="0" fontId="8" fillId="3" borderId="4" xfId="0" applyFont="1" applyFill="1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2" fillId="0" borderId="19" xfId="0" applyFont="1" applyBorder="1" applyAlignment="1" applyProtection="1">
      <alignment vertical="center"/>
    </xf>
    <xf numFmtId="0" fontId="1" fillId="3" borderId="19" xfId="0" applyFont="1" applyFill="1" applyBorder="1" applyAlignment="1" applyProtection="1">
      <alignment horizontal="left" vertical="center" wrapText="1"/>
    </xf>
    <xf numFmtId="0" fontId="0" fillId="0" borderId="19" xfId="0" applyBorder="1" applyAlignment="1" applyProtection="1"/>
    <xf numFmtId="0" fontId="0" fillId="0" borderId="20" xfId="0" applyBorder="1" applyAlignment="1" applyProtection="1"/>
    <xf numFmtId="164" fontId="3" fillId="3" borderId="22" xfId="0" applyNumberFormat="1" applyFont="1" applyFill="1" applyBorder="1" applyAlignment="1" applyProtection="1">
      <alignment horizontal="right" vertical="center"/>
    </xf>
    <xf numFmtId="164" fontId="3" fillId="3" borderId="23" xfId="0" applyNumberFormat="1" applyFont="1" applyFill="1" applyBorder="1" applyAlignment="1" applyProtection="1">
      <alignment horizontal="right" vertical="center"/>
    </xf>
    <xf numFmtId="0" fontId="1" fillId="0" borderId="19" xfId="0" applyNumberFormat="1" applyFont="1" applyBorder="1" applyAlignment="1" applyProtection="1">
      <alignment vertical="center" wrapText="1"/>
    </xf>
    <xf numFmtId="0" fontId="1" fillId="3" borderId="4" xfId="0" applyFont="1" applyFill="1" applyBorder="1" applyAlignment="1" applyProtection="1">
      <alignment horizontal="left" vertical="center" wrapText="1"/>
    </xf>
    <xf numFmtId="0" fontId="8" fillId="3" borderId="18" xfId="0" applyFont="1" applyFill="1" applyBorder="1" applyAlignment="1" applyProtection="1">
      <alignment vertical="center" wrapText="1"/>
    </xf>
    <xf numFmtId="0" fontId="0" fillId="0" borderId="19" xfId="0" applyBorder="1" applyAlignment="1"/>
    <xf numFmtId="0" fontId="2" fillId="3" borderId="19" xfId="0" applyFont="1" applyFill="1" applyBorder="1" applyAlignment="1" applyProtection="1">
      <alignment horizontal="left" vertical="center" wrapText="1"/>
    </xf>
    <xf numFmtId="0" fontId="5" fillId="3" borderId="37" xfId="0" applyFont="1" applyFill="1" applyBorder="1" applyAlignment="1" applyProtection="1">
      <alignment horizontal="left" vertical="center" wrapText="1"/>
    </xf>
    <xf numFmtId="0" fontId="5" fillId="3" borderId="34" xfId="0" applyFont="1" applyFill="1" applyBorder="1" applyAlignment="1" applyProtection="1">
      <alignment horizontal="left" vertical="center" wrapText="1"/>
    </xf>
    <xf numFmtId="0" fontId="3" fillId="3" borderId="37" xfId="0" applyFont="1" applyFill="1" applyBorder="1" applyAlignment="1" applyProtection="1">
      <alignment horizontal="left" vertical="center" wrapText="1"/>
    </xf>
    <xf numFmtId="0" fontId="3" fillId="3" borderId="34" xfId="0" applyFont="1" applyFill="1" applyBorder="1" applyAlignment="1" applyProtection="1">
      <alignment horizontal="left" vertical="center" wrapText="1"/>
    </xf>
    <xf numFmtId="0" fontId="5" fillId="3" borderId="22" xfId="0" applyFont="1" applyFill="1" applyBorder="1" applyAlignment="1" applyProtection="1">
      <alignment horizontal="left" vertical="center"/>
    </xf>
    <xf numFmtId="0" fontId="0" fillId="0" borderId="3" xfId="0" applyFill="1" applyBorder="1" applyAlignment="1" applyProtection="1">
      <alignment horizontal="right" vertical="center"/>
    </xf>
    <xf numFmtId="0" fontId="0" fillId="0" borderId="3" xfId="0" applyFill="1" applyBorder="1" applyAlignment="1" applyProtection="1">
      <alignment horizontal="right"/>
    </xf>
    <xf numFmtId="0" fontId="0" fillId="0" borderId="49" xfId="0" applyFill="1" applyBorder="1" applyAlignment="1" applyProtection="1">
      <alignment horizontal="right"/>
    </xf>
    <xf numFmtId="0" fontId="0" fillId="0" borderId="5" xfId="0" applyFill="1" applyBorder="1" applyAlignment="1" applyProtection="1">
      <alignment horizontal="right"/>
    </xf>
    <xf numFmtId="0" fontId="0" fillId="0" borderId="51" xfId="0" applyFill="1" applyBorder="1" applyAlignment="1" applyProtection="1">
      <alignment horizontal="right"/>
    </xf>
    <xf numFmtId="0" fontId="1" fillId="3" borderId="37" xfId="0" applyFont="1" applyFill="1" applyBorder="1" applyAlignment="1" applyProtection="1">
      <alignment horizontal="left" vertical="center"/>
    </xf>
    <xf numFmtId="0" fontId="3" fillId="0" borderId="22" xfId="0" applyFont="1" applyBorder="1" applyAlignment="1" applyProtection="1">
      <alignment horizontal="left" vertical="center" wrapText="1"/>
    </xf>
    <xf numFmtId="0" fontId="0" fillId="0" borderId="42" xfId="0" applyBorder="1" applyAlignment="1" applyProtection="1">
      <alignment vertical="center"/>
    </xf>
    <xf numFmtId="0" fontId="0" fillId="0" borderId="43" xfId="0" applyBorder="1" applyAlignment="1">
      <alignment vertical="center"/>
    </xf>
    <xf numFmtId="0" fontId="3" fillId="3" borderId="27" xfId="0" applyFont="1" applyFill="1" applyBorder="1" applyAlignment="1" applyProtection="1">
      <alignment horizontal="left" vertical="center"/>
    </xf>
    <xf numFmtId="0" fontId="0" fillId="0" borderId="37" xfId="0" applyBorder="1" applyAlignment="1">
      <alignment vertical="center"/>
    </xf>
    <xf numFmtId="0" fontId="0" fillId="0" borderId="34" xfId="0" applyBorder="1" applyAlignment="1">
      <alignment vertical="center"/>
    </xf>
    <xf numFmtId="0" fontId="1" fillId="3" borderId="27" xfId="0" applyFont="1" applyFill="1" applyBorder="1" applyAlignment="1" applyProtection="1">
      <alignment horizontal="left" vertical="center"/>
    </xf>
    <xf numFmtId="0" fontId="2" fillId="0" borderId="29" xfId="0" applyFont="1" applyBorder="1" applyAlignment="1" applyProtection="1">
      <alignment horizontal="right" vertical="center"/>
    </xf>
    <xf numFmtId="0" fontId="2" fillId="0" borderId="41" xfId="0" applyFont="1" applyBorder="1" applyAlignment="1">
      <alignment horizontal="right" vertical="center"/>
    </xf>
    <xf numFmtId="0" fontId="2" fillId="0" borderId="35" xfId="0" applyFont="1" applyBorder="1" applyAlignment="1">
      <alignment horizontal="right" vertical="center"/>
    </xf>
    <xf numFmtId="0" fontId="0" fillId="0" borderId="38" xfId="0" applyBorder="1" applyAlignment="1">
      <alignment horizontal="left" vertical="center" wrapText="1"/>
    </xf>
    <xf numFmtId="0" fontId="0" fillId="0" borderId="43" xfId="0" applyBorder="1" applyAlignment="1">
      <alignment vertical="center" wrapText="1"/>
    </xf>
    <xf numFmtId="0" fontId="3" fillId="3" borderId="36" xfId="0" applyFont="1" applyFill="1" applyBorder="1" applyAlignment="1" applyProtection="1">
      <alignment horizontal="left" vertical="center" wrapText="1"/>
    </xf>
    <xf numFmtId="0" fontId="0" fillId="0" borderId="37" xfId="0" applyBorder="1" applyAlignment="1">
      <alignment horizontal="left" vertical="center" wrapText="1"/>
    </xf>
    <xf numFmtId="0" fontId="0" fillId="0" borderId="34" xfId="0" applyBorder="1" applyAlignment="1">
      <alignment vertical="center" wrapText="1"/>
    </xf>
    <xf numFmtId="0" fontId="2" fillId="3" borderId="40" xfId="0" applyFont="1" applyFill="1" applyBorder="1" applyAlignment="1" applyProtection="1">
      <alignment horizontal="left" vertical="center"/>
    </xf>
    <xf numFmtId="0" fontId="1" fillId="3" borderId="24" xfId="0" applyFont="1" applyFill="1" applyBorder="1" applyAlignment="1" applyProtection="1">
      <alignment horizontal="left" vertical="center"/>
    </xf>
    <xf numFmtId="0" fontId="0" fillId="0" borderId="25" xfId="0" applyBorder="1" applyAlignment="1" applyProtection="1">
      <alignment horizontal="left" vertical="center"/>
    </xf>
    <xf numFmtId="0" fontId="1" fillId="0" borderId="22" xfId="0" applyFont="1" applyBorder="1" applyAlignment="1" applyProtection="1">
      <alignment horizontal="left" vertical="center"/>
    </xf>
    <xf numFmtId="0" fontId="0" fillId="0" borderId="22" xfId="0" applyBorder="1" applyAlignment="1" applyProtection="1">
      <alignment horizontal="left" vertical="center"/>
    </xf>
    <xf numFmtId="3" fontId="8" fillId="0" borderId="25" xfId="0" applyNumberFormat="1" applyFont="1" applyBorder="1" applyAlignment="1" applyProtection="1">
      <alignment horizontal="right" vertical="center"/>
    </xf>
    <xf numFmtId="3" fontId="0" fillId="0" borderId="26" xfId="0" applyNumberFormat="1" applyBorder="1" applyAlignment="1">
      <alignment vertical="center"/>
    </xf>
    <xf numFmtId="0" fontId="0" fillId="0" borderId="3" xfId="0" applyFill="1" applyBorder="1" applyAlignment="1" applyProtection="1">
      <alignment vertical="center"/>
    </xf>
    <xf numFmtId="0" fontId="0" fillId="0" borderId="3" xfId="0" applyFill="1" applyBorder="1" applyAlignment="1" applyProtection="1"/>
    <xf numFmtId="0" fontId="0" fillId="0" borderId="49" xfId="0" applyFill="1" applyBorder="1" applyAlignment="1" applyProtection="1"/>
    <xf numFmtId="0" fontId="0" fillId="0" borderId="5" xfId="0" applyFill="1" applyBorder="1" applyAlignment="1" applyProtection="1"/>
    <xf numFmtId="0" fontId="0" fillId="0" borderId="51" xfId="0" applyFill="1" applyBorder="1" applyAlignment="1" applyProtection="1"/>
    <xf numFmtId="165" fontId="3" fillId="3" borderId="22" xfId="0" applyNumberFormat="1" applyFont="1" applyFill="1" applyBorder="1" applyAlignment="1" applyProtection="1">
      <alignment horizontal="right" vertical="center"/>
    </xf>
    <xf numFmtId="165" fontId="0" fillId="0" borderId="23" xfId="0" applyNumberFormat="1" applyBorder="1" applyAlignment="1">
      <alignment vertical="center"/>
    </xf>
    <xf numFmtId="164" fontId="1" fillId="3" borderId="19" xfId="0" applyNumberFormat="1" applyFont="1" applyFill="1" applyBorder="1" applyAlignment="1" applyProtection="1">
      <alignment horizontal="right" vertical="center" wrapText="1"/>
    </xf>
    <xf numFmtId="0" fontId="1" fillId="0" borderId="20" xfId="0" applyFont="1" applyBorder="1" applyAlignment="1">
      <alignment horizontal="right" vertical="center" wrapText="1"/>
    </xf>
    <xf numFmtId="0" fontId="32" fillId="0" borderId="3" xfId="0" applyFont="1" applyBorder="1" applyAlignment="1" applyProtection="1">
      <alignment horizontal="center" wrapText="1"/>
    </xf>
    <xf numFmtId="0" fontId="0" fillId="0" borderId="3" xfId="0" applyBorder="1" applyAlignment="1">
      <alignment horizontal="center"/>
    </xf>
    <xf numFmtId="49" fontId="32" fillId="3" borderId="3" xfId="0" applyNumberFormat="1" applyFont="1" applyFill="1" applyBorder="1" applyAlignment="1" applyProtection="1">
      <alignment horizontal="left" wrapText="1"/>
    </xf>
    <xf numFmtId="49" fontId="32" fillId="0" borderId="3" xfId="0" applyNumberFormat="1" applyFont="1" applyBorder="1" applyAlignment="1"/>
    <xf numFmtId="0" fontId="1" fillId="0" borderId="22" xfId="0" applyFont="1" applyBorder="1" applyAlignment="1">
      <alignment horizontal="right" vertical="center"/>
    </xf>
    <xf numFmtId="0" fontId="0" fillId="0" borderId="22" xfId="0" applyBorder="1" applyAlignment="1">
      <alignment horizontal="right" vertical="center"/>
    </xf>
    <xf numFmtId="0" fontId="14" fillId="0" borderId="0" xfId="0" applyFont="1" applyFill="1" applyBorder="1" applyAlignment="1" applyProtection="1">
      <alignment horizontal="left"/>
    </xf>
    <xf numFmtId="0" fontId="0" fillId="0" borderId="0" xfId="0" applyAlignment="1" applyProtection="1"/>
    <xf numFmtId="1" fontId="31" fillId="5" borderId="27" xfId="0" applyNumberFormat="1" applyFont="1" applyFill="1" applyBorder="1" applyAlignment="1" applyProtection="1">
      <alignment horizontal="left" vertical="center"/>
      <protection locked="0"/>
    </xf>
    <xf numFmtId="0" fontId="31" fillId="5" borderId="34" xfId="0" applyFont="1" applyFill="1" applyBorder="1" applyAlignment="1" applyProtection="1">
      <alignment horizontal="left" vertical="center"/>
      <protection locked="0"/>
    </xf>
    <xf numFmtId="0" fontId="1" fillId="5" borderId="0" xfId="0" applyFont="1" applyFill="1" applyBorder="1" applyAlignment="1" applyProtection="1">
      <protection locked="0"/>
    </xf>
    <xf numFmtId="0" fontId="3" fillId="5" borderId="0" xfId="0" applyFont="1" applyFill="1" applyBorder="1" applyAlignment="1" applyProtection="1">
      <protection locked="0"/>
    </xf>
    <xf numFmtId="0" fontId="0" fillId="5" borderId="0" xfId="0" applyFill="1" applyBorder="1" applyAlignment="1" applyProtection="1">
      <protection locked="0"/>
    </xf>
    <xf numFmtId="164" fontId="1" fillId="5" borderId="27" xfId="0" applyNumberFormat="1" applyFont="1" applyFill="1" applyBorder="1" applyAlignment="1" applyProtection="1">
      <alignment horizontal="right" vertical="center"/>
      <protection locked="0"/>
    </xf>
    <xf numFmtId="164" fontId="0" fillId="5" borderId="37" xfId="0" applyNumberFormat="1" applyFill="1" applyBorder="1" applyAlignment="1" applyProtection="1">
      <alignment horizontal="right" vertical="center"/>
      <protection locked="0"/>
    </xf>
    <xf numFmtId="164" fontId="0" fillId="5" borderId="34" xfId="0" applyNumberFormat="1" applyFill="1" applyBorder="1" applyAlignment="1" applyProtection="1">
      <alignment horizontal="right" vertical="center"/>
      <protection locked="0"/>
    </xf>
    <xf numFmtId="0" fontId="0" fillId="0" borderId="27" xfId="0" applyBorder="1" applyAlignment="1" applyProtection="1">
      <alignment horizontal="right" vertical="center"/>
    </xf>
    <xf numFmtId="0" fontId="0" fillId="0" borderId="37" xfId="0" applyBorder="1" applyAlignment="1">
      <alignment horizontal="right" vertical="center"/>
    </xf>
    <xf numFmtId="0" fontId="0" fillId="0" borderId="28" xfId="0" applyBorder="1" applyAlignment="1">
      <alignment horizontal="right" vertical="center"/>
    </xf>
    <xf numFmtId="2" fontId="1" fillId="5" borderId="29" xfId="0" applyNumberFormat="1" applyFont="1" applyFill="1" applyBorder="1" applyAlignment="1" applyProtection="1">
      <alignment horizontal="right" vertical="center"/>
      <protection locked="0"/>
    </xf>
    <xf numFmtId="2" fontId="0" fillId="5" borderId="35" xfId="0" applyNumberFormat="1" applyFill="1" applyBorder="1" applyAlignment="1" applyProtection="1">
      <alignment horizontal="right" vertical="center"/>
      <protection locked="0"/>
    </xf>
    <xf numFmtId="0" fontId="20" fillId="0" borderId="27" xfId="0" applyFont="1" applyBorder="1" applyAlignment="1">
      <alignment horizontal="right" vertical="center"/>
    </xf>
    <xf numFmtId="0" fontId="23" fillId="0" borderId="37" xfId="0" applyFont="1" applyBorder="1" applyAlignment="1">
      <alignment horizontal="right" vertical="center"/>
    </xf>
    <xf numFmtId="0" fontId="23" fillId="0" borderId="28" xfId="0" applyFont="1" applyBorder="1" applyAlignment="1">
      <alignment horizontal="right" vertical="center"/>
    </xf>
    <xf numFmtId="0" fontId="8" fillId="3" borderId="38" xfId="0" applyFont="1" applyFill="1" applyBorder="1" applyAlignment="1" applyProtection="1">
      <alignment horizontal="left" vertical="center"/>
    </xf>
    <xf numFmtId="0" fontId="8" fillId="0" borderId="38" xfId="0" applyFont="1" applyBorder="1" applyAlignment="1" applyProtection="1">
      <alignment horizontal="left" vertical="center"/>
    </xf>
    <xf numFmtId="0" fontId="0" fillId="0" borderId="38" xfId="0" applyBorder="1" applyAlignment="1" applyProtection="1">
      <alignment vertical="center"/>
    </xf>
    <xf numFmtId="2" fontId="0" fillId="0" borderId="25" xfId="0" applyNumberFormat="1" applyBorder="1" applyAlignment="1">
      <alignment horizontal="right" vertical="center"/>
    </xf>
    <xf numFmtId="2" fontId="0" fillId="0" borderId="26" xfId="0" applyNumberFormat="1" applyBorder="1" applyAlignment="1">
      <alignment horizontal="right" vertical="center"/>
    </xf>
    <xf numFmtId="1" fontId="1" fillId="5" borderId="36" xfId="0" applyNumberFormat="1" applyFont="1" applyFill="1" applyBorder="1" applyAlignment="1" applyProtection="1">
      <alignment horizontal="left" vertical="center"/>
      <protection locked="0"/>
    </xf>
    <xf numFmtId="0" fontId="0" fillId="5" borderId="34" xfId="0" applyFill="1" applyBorder="1" applyAlignment="1" applyProtection="1">
      <alignment horizontal="left" vertical="center"/>
      <protection locked="0"/>
    </xf>
    <xf numFmtId="0" fontId="0" fillId="5" borderId="38" xfId="0" applyNumberFormat="1" applyFill="1" applyBorder="1" applyAlignment="1" applyProtection="1">
      <alignment vertical="center"/>
      <protection locked="0"/>
    </xf>
    <xf numFmtId="0" fontId="0" fillId="5" borderId="39" xfId="0" applyNumberFormat="1" applyFill="1" applyBorder="1" applyAlignment="1" applyProtection="1">
      <alignment vertical="center"/>
      <protection locked="0"/>
    </xf>
    <xf numFmtId="0" fontId="3" fillId="3" borderId="42" xfId="0" applyFont="1" applyFill="1" applyBorder="1" applyAlignment="1" applyProtection="1">
      <alignment horizontal="right" vertical="center"/>
    </xf>
    <xf numFmtId="0" fontId="0" fillId="0" borderId="38" xfId="0" applyBorder="1" applyAlignment="1" applyProtection="1">
      <alignment horizontal="right" vertical="center"/>
    </xf>
    <xf numFmtId="14" fontId="0" fillId="5" borderId="41" xfId="0" applyNumberFormat="1" applyFill="1" applyBorder="1" applyAlignment="1" applyProtection="1">
      <alignment vertical="center"/>
      <protection locked="0"/>
    </xf>
    <xf numFmtId="14" fontId="0" fillId="5" borderId="30" xfId="0" applyNumberFormat="1" applyFill="1" applyBorder="1" applyAlignment="1" applyProtection="1">
      <alignment vertical="center"/>
      <protection locked="0"/>
    </xf>
    <xf numFmtId="0" fontId="3" fillId="3" borderId="29" xfId="0" applyFont="1" applyFill="1" applyBorder="1" applyAlignment="1" applyProtection="1">
      <alignment horizontal="right" vertical="center"/>
    </xf>
    <xf numFmtId="0" fontId="0" fillId="0" borderId="41" xfId="0" applyBorder="1" applyAlignment="1" applyProtection="1">
      <alignment horizontal="right" vertical="center"/>
    </xf>
    <xf numFmtId="49" fontId="17" fillId="3" borderId="0" xfId="0" applyNumberFormat="1" applyFont="1" applyFill="1" applyBorder="1" applyAlignment="1" applyProtection="1">
      <alignment horizontal="center" vertical="center"/>
    </xf>
    <xf numFmtId="49" fontId="18" fillId="0" borderId="0" xfId="0" applyNumberFormat="1" applyFont="1" applyBorder="1" applyAlignment="1" applyProtection="1">
      <alignment horizontal="center" vertical="center"/>
    </xf>
    <xf numFmtId="0" fontId="1" fillId="5" borderId="37" xfId="0" applyFont="1" applyFill="1" applyBorder="1" applyAlignment="1" applyProtection="1">
      <alignment horizontal="left"/>
      <protection locked="0"/>
    </xf>
    <xf numFmtId="0" fontId="0" fillId="5" borderId="37" xfId="0" applyFill="1" applyBorder="1" applyAlignment="1" applyProtection="1">
      <protection locked="0"/>
    </xf>
    <xf numFmtId="0" fontId="8" fillId="3" borderId="7" xfId="0" applyFont="1" applyFill="1" applyBorder="1" applyAlignment="1" applyProtection="1">
      <alignment horizontal="left" vertical="center" wrapText="1"/>
    </xf>
    <xf numFmtId="0" fontId="0" fillId="0" borderId="8" xfId="0" applyBorder="1" applyAlignment="1" applyProtection="1">
      <alignment horizontal="left" wrapText="1"/>
    </xf>
    <xf numFmtId="0" fontId="1" fillId="3" borderId="47" xfId="0" applyFont="1" applyFill="1" applyBorder="1" applyAlignment="1" applyProtection="1">
      <alignment horizontal="left"/>
    </xf>
    <xf numFmtId="0" fontId="3" fillId="3" borderId="37" xfId="0" applyFont="1" applyFill="1" applyBorder="1" applyAlignment="1" applyProtection="1">
      <alignment horizontal="left"/>
    </xf>
    <xf numFmtId="0" fontId="1" fillId="6" borderId="37" xfId="0" applyFont="1" applyFill="1" applyBorder="1" applyAlignment="1" applyProtection="1">
      <alignment horizontal="left"/>
      <protection locked="0"/>
    </xf>
    <xf numFmtId="0" fontId="0" fillId="6" borderId="37" xfId="0" applyFill="1" applyBorder="1" applyAlignment="1" applyProtection="1">
      <protection locked="0"/>
    </xf>
    <xf numFmtId="0" fontId="5" fillId="3" borderId="8" xfId="0" applyFont="1" applyFill="1" applyBorder="1" applyAlignment="1" applyProtection="1">
      <alignment horizontal="center" wrapText="1"/>
    </xf>
    <xf numFmtId="0" fontId="5" fillId="3" borderId="9" xfId="0" applyFont="1" applyFill="1" applyBorder="1" applyAlignment="1" applyProtection="1">
      <alignment horizontal="center" wrapText="1"/>
    </xf>
    <xf numFmtId="0" fontId="0" fillId="0" borderId="37" xfId="0" applyBorder="1" applyAlignment="1" applyProtection="1"/>
    <xf numFmtId="0" fontId="8" fillId="3" borderId="18" xfId="0" applyFont="1" applyFill="1" applyBorder="1" applyAlignment="1" applyProtection="1">
      <alignment horizontal="left" vertical="center" wrapText="1"/>
    </xf>
    <xf numFmtId="0" fontId="0" fillId="0" borderId="19" xfId="0" applyBorder="1" applyAlignment="1" applyProtection="1">
      <alignment horizontal="left" wrapText="1"/>
    </xf>
    <xf numFmtId="0" fontId="0" fillId="6" borderId="37" xfId="0" applyFill="1" applyBorder="1" applyAlignment="1" applyProtection="1">
      <alignment horizontal="left"/>
      <protection locked="0"/>
    </xf>
    <xf numFmtId="0" fontId="0" fillId="5" borderId="37" xfId="0" applyFill="1" applyBorder="1" applyAlignment="1" applyProtection="1">
      <alignment horizontal="left"/>
      <protection locked="0"/>
    </xf>
    <xf numFmtId="0" fontId="3" fillId="3" borderId="47" xfId="0" applyFont="1" applyFill="1" applyBorder="1" applyAlignment="1" applyProtection="1">
      <alignment horizontal="left"/>
    </xf>
    <xf numFmtId="0" fontId="0" fillId="0" borderId="47" xfId="0" applyBorder="1" applyAlignment="1" applyProtection="1"/>
    <xf numFmtId="0" fontId="2" fillId="0" borderId="48" xfId="0" applyFont="1" applyBorder="1" applyAlignment="1" applyProtection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54" xfId="0" applyFont="1" applyBorder="1" applyAlignment="1">
      <alignment horizontal="left" vertical="center" wrapText="1"/>
    </xf>
    <xf numFmtId="0" fontId="2" fillId="0" borderId="5" xfId="0" applyFont="1" applyBorder="1" applyAlignment="1">
      <alignment vertical="center" wrapText="1"/>
    </xf>
    <xf numFmtId="0" fontId="2" fillId="0" borderId="55" xfId="0" applyFont="1" applyBorder="1" applyAlignment="1">
      <alignment vertical="center" wrapText="1"/>
    </xf>
    <xf numFmtId="0" fontId="3" fillId="3" borderId="10" xfId="0" applyFont="1" applyFill="1" applyBorder="1" applyAlignment="1" applyProtection="1">
      <alignment horizontal="left" vertical="center"/>
    </xf>
    <xf numFmtId="0" fontId="1" fillId="3" borderId="11" xfId="0" applyFont="1" applyFill="1" applyBorder="1" applyAlignment="1" applyProtection="1">
      <alignment horizontal="left" vertical="center"/>
    </xf>
    <xf numFmtId="0" fontId="1" fillId="5" borderId="11" xfId="0" applyFont="1" applyFill="1" applyBorder="1" applyAlignment="1" applyProtection="1">
      <alignment horizontal="left" vertical="center"/>
      <protection locked="0"/>
    </xf>
    <xf numFmtId="0" fontId="0" fillId="5" borderId="11" xfId="0" applyFill="1" applyBorder="1" applyAlignment="1" applyProtection="1">
      <alignment horizontal="left" vertical="center"/>
      <protection locked="0"/>
    </xf>
    <xf numFmtId="0" fontId="1" fillId="6" borderId="47" xfId="0" applyFont="1" applyFill="1" applyBorder="1" applyAlignment="1" applyProtection="1">
      <alignment horizontal="left"/>
      <protection locked="0"/>
    </xf>
    <xf numFmtId="0" fontId="0" fillId="6" borderId="47" xfId="0" applyFill="1" applyBorder="1" applyAlignment="1" applyProtection="1">
      <alignment horizontal="left"/>
      <protection locked="0"/>
    </xf>
    <xf numFmtId="0" fontId="0" fillId="5" borderId="47" xfId="0" applyFill="1" applyBorder="1" applyAlignment="1" applyProtection="1">
      <alignment horizontal="left"/>
      <protection locked="0"/>
    </xf>
    <xf numFmtId="0" fontId="3" fillId="3" borderId="12" xfId="0" applyFont="1" applyFill="1" applyBorder="1" applyAlignment="1" applyProtection="1">
      <alignment horizontal="left" vertical="center"/>
    </xf>
    <xf numFmtId="0" fontId="1" fillId="3" borderId="13" xfId="0" applyFont="1" applyFill="1" applyBorder="1" applyAlignment="1" applyProtection="1">
      <alignment horizontal="left" vertical="center"/>
    </xf>
    <xf numFmtId="0" fontId="3" fillId="5" borderId="22" xfId="0" applyFont="1" applyFill="1" applyBorder="1" applyAlignment="1" applyProtection="1">
      <alignment horizontal="left" vertical="center"/>
      <protection locked="0"/>
    </xf>
    <xf numFmtId="0" fontId="0" fillId="5" borderId="22" xfId="0" applyFill="1" applyBorder="1" applyAlignment="1" applyProtection="1">
      <alignment horizontal="left" vertical="center"/>
      <protection locked="0"/>
    </xf>
    <xf numFmtId="0" fontId="0" fillId="6" borderId="47" xfId="0" applyFill="1" applyBorder="1" applyAlignment="1" applyProtection="1">
      <protection locked="0"/>
    </xf>
    <xf numFmtId="0" fontId="22" fillId="4" borderId="27" xfId="0" applyFont="1" applyFill="1" applyBorder="1" applyAlignment="1" applyProtection="1">
      <alignment horizontal="left" vertical="center"/>
    </xf>
    <xf numFmtId="0" fontId="22" fillId="4" borderId="37" xfId="0" applyFont="1" applyFill="1" applyBorder="1" applyAlignment="1" applyProtection="1">
      <alignment horizontal="left" vertical="center"/>
    </xf>
    <xf numFmtId="0" fontId="22" fillId="4" borderId="37" xfId="0" applyFont="1" applyFill="1" applyBorder="1" applyAlignment="1" applyProtection="1">
      <alignment vertical="center"/>
    </xf>
    <xf numFmtId="0" fontId="22" fillId="4" borderId="34" xfId="0" applyFont="1" applyFill="1" applyBorder="1" applyAlignment="1" applyProtection="1">
      <alignment vertical="center"/>
    </xf>
    <xf numFmtId="0" fontId="12" fillId="3" borderId="19" xfId="0" applyFont="1" applyFill="1" applyBorder="1" applyAlignment="1" applyProtection="1">
      <alignment horizontal="left" vertical="center"/>
    </xf>
    <xf numFmtId="0" fontId="1" fillId="0" borderId="19" xfId="0" applyFont="1" applyBorder="1" applyAlignment="1" applyProtection="1">
      <alignment horizontal="left" vertical="center"/>
    </xf>
    <xf numFmtId="0" fontId="12" fillId="3" borderId="8" xfId="0" applyFont="1" applyFill="1" applyBorder="1" applyAlignment="1" applyProtection="1">
      <alignment horizontal="left" wrapText="1"/>
    </xf>
    <xf numFmtId="0" fontId="1" fillId="5" borderId="13" xfId="0" applyFont="1" applyFill="1" applyBorder="1" applyAlignment="1" applyProtection="1">
      <alignment horizontal="left" vertical="center"/>
      <protection locked="0"/>
    </xf>
    <xf numFmtId="0" fontId="0" fillId="5" borderId="13" xfId="0" applyFill="1" applyBorder="1" applyAlignment="1" applyProtection="1">
      <alignment horizontal="left" vertical="center"/>
      <protection locked="0"/>
    </xf>
    <xf numFmtId="0" fontId="12" fillId="3" borderId="42" xfId="0" applyFont="1" applyFill="1" applyBorder="1" applyAlignment="1" applyProtection="1">
      <alignment horizontal="left" wrapText="1"/>
    </xf>
    <xf numFmtId="0" fontId="0" fillId="0" borderId="38" xfId="0" applyBorder="1" applyAlignment="1" applyProtection="1">
      <alignment horizontal="left" wrapText="1"/>
    </xf>
    <xf numFmtId="0" fontId="0" fillId="0" borderId="43" xfId="0" applyBorder="1" applyAlignment="1" applyProtection="1">
      <alignment horizontal="left" wrapText="1"/>
    </xf>
    <xf numFmtId="0" fontId="3" fillId="3" borderId="21" xfId="0" applyFont="1" applyFill="1" applyBorder="1" applyAlignment="1" applyProtection="1">
      <alignment horizontal="left" vertical="center"/>
    </xf>
    <xf numFmtId="0" fontId="5" fillId="3" borderId="19" xfId="0" applyFont="1" applyFill="1" applyBorder="1" applyAlignment="1" applyProtection="1">
      <alignment wrapText="1"/>
    </xf>
    <xf numFmtId="0" fontId="5" fillId="3" borderId="20" xfId="0" applyFont="1" applyFill="1" applyBorder="1" applyAlignment="1" applyProtection="1">
      <alignment wrapText="1"/>
    </xf>
    <xf numFmtId="0" fontId="1" fillId="3" borderId="2" xfId="0" applyFont="1" applyFill="1" applyBorder="1" applyAlignment="1" applyProtection="1">
      <alignment horizontal="left" vertical="center"/>
    </xf>
    <xf numFmtId="0" fontId="1" fillId="0" borderId="25" xfId="0" applyFont="1" applyBorder="1" applyAlignment="1" applyProtection="1">
      <alignment horizontal="left" vertical="center"/>
    </xf>
    <xf numFmtId="0" fontId="3" fillId="5" borderId="25" xfId="0" applyFont="1" applyFill="1" applyBorder="1" applyAlignment="1" applyProtection="1">
      <alignment horizontal="left" vertical="center"/>
      <protection locked="0"/>
    </xf>
    <xf numFmtId="0" fontId="0" fillId="5" borderId="25" xfId="0" applyFill="1" applyBorder="1" applyAlignment="1" applyProtection="1">
      <alignment horizontal="left" vertical="center"/>
      <protection locked="0"/>
    </xf>
    <xf numFmtId="0" fontId="1" fillId="5" borderId="0" xfId="0" applyFont="1" applyFill="1" applyBorder="1" applyAlignment="1" applyProtection="1">
      <alignment horizontal="left"/>
      <protection locked="0"/>
    </xf>
    <xf numFmtId="0" fontId="3" fillId="5" borderId="0" xfId="0" applyFont="1" applyFill="1" applyBorder="1" applyAlignment="1" applyProtection="1">
      <alignment horizontal="left"/>
      <protection locked="0"/>
    </xf>
    <xf numFmtId="0" fontId="2" fillId="3" borderId="48" xfId="0" applyFont="1" applyFill="1" applyBorder="1" applyAlignment="1" applyProtection="1">
      <alignment horizontal="left" vertical="center" wrapText="1"/>
    </xf>
    <xf numFmtId="0" fontId="2" fillId="3" borderId="3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vertical="center"/>
    </xf>
    <xf numFmtId="0" fontId="1" fillId="5" borderId="0" xfId="0" applyFont="1" applyFill="1" applyBorder="1" applyAlignment="1" applyProtection="1">
      <alignment horizontal="left" vertical="top" wrapText="1"/>
      <protection locked="0"/>
    </xf>
    <xf numFmtId="0" fontId="5" fillId="5" borderId="0" xfId="0" applyFont="1" applyFill="1" applyBorder="1" applyAlignment="1" applyProtection="1">
      <alignment horizontal="left" vertical="top" wrapText="1"/>
      <protection locked="0"/>
    </xf>
    <xf numFmtId="0" fontId="8" fillId="3" borderId="36" xfId="0" applyFont="1" applyFill="1" applyBorder="1" applyAlignment="1" applyProtection="1">
      <alignment horizontal="left" vertical="center"/>
    </xf>
    <xf numFmtId="0" fontId="8" fillId="3" borderId="37" xfId="0" applyFont="1" applyFill="1" applyBorder="1" applyAlignment="1" applyProtection="1">
      <alignment horizontal="left" vertical="center"/>
    </xf>
    <xf numFmtId="1" fontId="8" fillId="3" borderId="2" xfId="0" applyNumberFormat="1" applyFont="1" applyFill="1" applyBorder="1" applyAlignment="1" applyProtection="1">
      <alignment horizontal="center"/>
    </xf>
    <xf numFmtId="0" fontId="8" fillId="3" borderId="2" xfId="0" applyFont="1" applyFill="1" applyBorder="1" applyAlignment="1" applyProtection="1">
      <alignment horizontal="center"/>
    </xf>
    <xf numFmtId="0" fontId="2" fillId="3" borderId="24" xfId="0" applyFont="1" applyFill="1" applyBorder="1" applyAlignment="1" applyProtection="1">
      <alignment horizontal="right" vertical="center"/>
    </xf>
    <xf numFmtId="0" fontId="8" fillId="3" borderId="25" xfId="0" applyFont="1" applyFill="1" applyBorder="1" applyAlignment="1" applyProtection="1">
      <alignment horizontal="right" vertical="center"/>
    </xf>
    <xf numFmtId="0" fontId="0" fillId="0" borderId="25" xfId="0" applyBorder="1" applyAlignment="1">
      <alignment horizontal="right" vertical="center"/>
    </xf>
    <xf numFmtId="0" fontId="2" fillId="0" borderId="22" xfId="0" applyFont="1" applyBorder="1" applyAlignment="1">
      <alignment horizontal="right" vertical="center"/>
    </xf>
    <xf numFmtId="0" fontId="2" fillId="0" borderId="23" xfId="0" applyFont="1" applyBorder="1" applyAlignment="1">
      <alignment horizontal="right" vertical="center"/>
    </xf>
    <xf numFmtId="0" fontId="20" fillId="0" borderId="21" xfId="0" applyFont="1" applyBorder="1" applyAlignment="1" applyProtection="1">
      <alignment horizontal="left" vertical="center"/>
    </xf>
    <xf numFmtId="0" fontId="20" fillId="0" borderId="22" xfId="0" applyFont="1" applyBorder="1" applyAlignment="1" applyProtection="1">
      <alignment horizontal="left" vertical="center"/>
    </xf>
    <xf numFmtId="0" fontId="2" fillId="0" borderId="25" xfId="0" applyFont="1" applyBorder="1" applyAlignment="1" applyProtection="1">
      <alignment horizontal="left" vertical="center" wrapText="1"/>
    </xf>
    <xf numFmtId="0" fontId="0" fillId="0" borderId="0" xfId="0" applyBorder="1" applyAlignment="1" applyProtection="1"/>
    <xf numFmtId="164" fontId="14" fillId="0" borderId="0" xfId="0" applyNumberFormat="1" applyFont="1" applyFill="1" applyBorder="1" applyAlignment="1" applyProtection="1">
      <alignment horizontal="left"/>
    </xf>
    <xf numFmtId="164" fontId="1" fillId="3" borderId="20" xfId="0" applyNumberFormat="1" applyFont="1" applyFill="1" applyBorder="1" applyAlignment="1" applyProtection="1">
      <alignment horizontal="right" vertical="center" wrapText="1"/>
    </xf>
    <xf numFmtId="1" fontId="8" fillId="0" borderId="25" xfId="0" applyNumberFormat="1" applyFont="1" applyBorder="1" applyAlignment="1" applyProtection="1">
      <alignment horizontal="right" vertical="center"/>
    </xf>
    <xf numFmtId="1" fontId="0" fillId="0" borderId="26" xfId="0" applyNumberFormat="1" applyBorder="1" applyAlignment="1" applyProtection="1">
      <alignment horizontal="right" vertical="center"/>
    </xf>
    <xf numFmtId="0" fontId="5" fillId="3" borderId="22" xfId="0" applyFont="1" applyFill="1" applyBorder="1" applyAlignment="1" applyProtection="1">
      <alignment horizontal="left" vertical="center" wrapText="1"/>
    </xf>
    <xf numFmtId="164" fontId="1" fillId="3" borderId="22" xfId="0" applyNumberFormat="1" applyFont="1" applyFill="1" applyBorder="1" applyAlignment="1" applyProtection="1">
      <alignment horizontal="right" vertical="center"/>
    </xf>
    <xf numFmtId="164" fontId="0" fillId="0" borderId="23" xfId="0" applyNumberFormat="1" applyBorder="1" applyAlignment="1">
      <alignment horizontal="right" vertical="center"/>
    </xf>
    <xf numFmtId="0" fontId="1" fillId="3" borderId="22" xfId="0" applyFont="1" applyFill="1" applyBorder="1" applyAlignment="1" applyProtection="1">
      <alignment horizontal="left" vertical="center" wrapText="1"/>
    </xf>
    <xf numFmtId="0" fontId="1" fillId="0" borderId="22" xfId="0" applyFont="1" applyBorder="1" applyAlignment="1">
      <alignment horizontal="left" vertical="center"/>
    </xf>
    <xf numFmtId="0" fontId="2" fillId="3" borderId="18" xfId="0" applyFont="1" applyFill="1" applyBorder="1" applyAlignment="1" applyProtection="1">
      <alignment vertical="center" wrapText="1"/>
    </xf>
    <xf numFmtId="0" fontId="2" fillId="3" borderId="19" xfId="0" applyFont="1" applyFill="1" applyBorder="1" applyAlignment="1" applyProtection="1">
      <alignment vertical="center" wrapText="1"/>
    </xf>
    <xf numFmtId="0" fontId="3" fillId="0" borderId="19" xfId="0" applyFont="1" applyBorder="1" applyAlignment="1" applyProtection="1">
      <alignment vertical="center" wrapText="1"/>
    </xf>
    <xf numFmtId="0" fontId="3" fillId="0" borderId="19" xfId="0" applyFont="1" applyBorder="1" applyAlignment="1" applyProtection="1">
      <alignment vertical="center"/>
    </xf>
    <xf numFmtId="0" fontId="0" fillId="0" borderId="20" xfId="0" applyBorder="1" applyAlignment="1"/>
    <xf numFmtId="1" fontId="2" fillId="3" borderId="25" xfId="0" applyNumberFormat="1" applyFont="1" applyFill="1" applyBorder="1" applyAlignment="1" applyProtection="1">
      <alignment horizontal="right" vertical="center"/>
    </xf>
    <xf numFmtId="1" fontId="0" fillId="0" borderId="26" xfId="0" applyNumberFormat="1" applyBorder="1" applyAlignment="1">
      <alignment horizontal="right" vertical="center"/>
    </xf>
    <xf numFmtId="2" fontId="1" fillId="3" borderId="19" xfId="0" applyNumberFormat="1" applyFont="1" applyFill="1" applyBorder="1" applyAlignment="1" applyProtection="1">
      <alignment horizontal="right" vertical="center"/>
    </xf>
    <xf numFmtId="0" fontId="1" fillId="0" borderId="20" xfId="0" applyFont="1" applyBorder="1" applyAlignment="1">
      <alignment horizontal="right" vertical="center"/>
    </xf>
    <xf numFmtId="0" fontId="16" fillId="3" borderId="37" xfId="0" applyFont="1" applyFill="1" applyBorder="1" applyAlignment="1" applyProtection="1">
      <alignment horizontal="left" vertical="center" wrapText="1"/>
    </xf>
    <xf numFmtId="0" fontId="16" fillId="0" borderId="37" xfId="0" applyFont="1" applyBorder="1" applyAlignment="1" applyProtection="1">
      <alignment horizontal="left" vertical="center" wrapText="1"/>
    </xf>
    <xf numFmtId="0" fontId="3" fillId="3" borderId="36" xfId="0" applyFont="1" applyFill="1" applyBorder="1" applyAlignment="1" applyProtection="1">
      <alignment horizontal="left" vertical="center"/>
    </xf>
    <xf numFmtId="0" fontId="1" fillId="0" borderId="45" xfId="0" applyFont="1" applyFill="1" applyBorder="1" applyAlignment="1" applyProtection="1">
      <alignment horizontal="left" vertical="top" wrapText="1"/>
    </xf>
    <xf numFmtId="0" fontId="0" fillId="0" borderId="31" xfId="0" applyFill="1" applyBorder="1" applyAlignment="1" applyProtection="1">
      <alignment horizontal="left" vertical="top" wrapText="1"/>
    </xf>
    <xf numFmtId="0" fontId="3" fillId="2" borderId="31" xfId="0" applyFont="1" applyFill="1" applyBorder="1" applyAlignment="1" applyProtection="1">
      <alignment horizontal="left" vertical="top" wrapText="1"/>
      <protection locked="0"/>
    </xf>
    <xf numFmtId="0" fontId="0" fillId="0" borderId="31" xfId="0" applyBorder="1" applyAlignment="1" applyProtection="1">
      <alignment horizontal="left" vertical="top" wrapText="1"/>
      <protection locked="0"/>
    </xf>
    <xf numFmtId="0" fontId="0" fillId="0" borderId="46" xfId="0" applyBorder="1" applyAlignment="1" applyProtection="1">
      <alignment horizontal="left" vertical="top" wrapText="1"/>
      <protection locked="0"/>
    </xf>
    <xf numFmtId="0" fontId="0" fillId="0" borderId="19" xfId="0" applyBorder="1" applyAlignment="1">
      <alignment vertical="center" wrapText="1"/>
    </xf>
    <xf numFmtId="1" fontId="32" fillId="0" borderId="3" xfId="0" applyNumberFormat="1" applyFont="1" applyBorder="1" applyAlignment="1" applyProtection="1">
      <alignment horizontal="right"/>
    </xf>
    <xf numFmtId="0" fontId="32" fillId="0" borderId="3" xfId="0" applyFont="1" applyBorder="1" applyAlignment="1">
      <alignment horizontal="right"/>
    </xf>
    <xf numFmtId="0" fontId="20" fillId="3" borderId="21" xfId="0" applyFont="1" applyFill="1" applyBorder="1" applyAlignment="1" applyProtection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5" fillId="0" borderId="22" xfId="0" applyFont="1" applyBorder="1" applyAlignment="1" applyProtection="1">
      <alignment vertical="center"/>
    </xf>
    <xf numFmtId="0" fontId="0" fillId="0" borderId="23" xfId="0" applyBorder="1" applyAlignment="1">
      <alignment vertical="center"/>
    </xf>
    <xf numFmtId="0" fontId="2" fillId="3" borderId="3" xfId="0" applyFont="1" applyFill="1" applyBorder="1" applyAlignment="1" applyProtection="1">
      <alignment horizontal="left"/>
    </xf>
    <xf numFmtId="0" fontId="0" fillId="0" borderId="3" xfId="0" applyBorder="1" applyAlignment="1"/>
    <xf numFmtId="0" fontId="0" fillId="0" borderId="49" xfId="0" applyBorder="1" applyAlignment="1"/>
    <xf numFmtId="0" fontId="8" fillId="3" borderId="44" xfId="0" applyFont="1" applyFill="1" applyBorder="1" applyAlignment="1" applyProtection="1">
      <alignment horizontal="left" vertical="center"/>
    </xf>
    <xf numFmtId="0" fontId="8" fillId="3" borderId="41" xfId="0" applyFont="1" applyFill="1" applyBorder="1" applyAlignment="1" applyProtection="1">
      <alignment horizontal="left" vertical="center"/>
    </xf>
    <xf numFmtId="0" fontId="0" fillId="0" borderId="41" xfId="0" applyBorder="1" applyAlignment="1" applyProtection="1">
      <alignment vertical="center"/>
    </xf>
    <xf numFmtId="0" fontId="0" fillId="0" borderId="37" xfId="0" applyBorder="1" applyAlignment="1" applyProtection="1">
      <alignment vertical="center"/>
    </xf>
    <xf numFmtId="0" fontId="23" fillId="3" borderId="36" xfId="0" applyFont="1" applyFill="1" applyBorder="1" applyAlignment="1" applyProtection="1">
      <alignment horizontal="left" vertical="center"/>
    </xf>
    <xf numFmtId="0" fontId="23" fillId="3" borderId="37" xfId="0" applyFont="1" applyFill="1" applyBorder="1" applyAlignment="1" applyProtection="1">
      <alignment horizontal="left" vertical="center"/>
    </xf>
    <xf numFmtId="0" fontId="2" fillId="0" borderId="27" xfId="0" applyFont="1" applyBorder="1" applyAlignment="1" applyProtection="1">
      <alignment horizontal="right" vertical="center" wrapText="1"/>
    </xf>
    <xf numFmtId="0" fontId="3" fillId="0" borderId="29" xfId="0" applyFont="1" applyBorder="1" applyAlignment="1" applyProtection="1">
      <alignment horizontal="right" vertical="center"/>
    </xf>
    <xf numFmtId="0" fontId="0" fillId="0" borderId="41" xfId="0" applyBorder="1" applyAlignment="1">
      <alignment vertical="center"/>
    </xf>
    <xf numFmtId="0" fontId="20" fillId="0" borderId="27" xfId="0" applyFont="1" applyBorder="1" applyAlignment="1" applyProtection="1">
      <alignment horizontal="left" vertical="center"/>
    </xf>
    <xf numFmtId="0" fontId="20" fillId="0" borderId="37" xfId="0" applyFont="1" applyBorder="1" applyAlignment="1" applyProtection="1">
      <alignment horizontal="left" vertical="center"/>
    </xf>
    <xf numFmtId="0" fontId="23" fillId="0" borderId="37" xfId="0" applyFont="1" applyBorder="1" applyAlignment="1" applyProtection="1">
      <alignment horizontal="left" vertical="center"/>
    </xf>
  </cellXfs>
  <cellStyles count="1">
    <cellStyle name="Standard" xfId="0" builtinId="0"/>
  </cellStyles>
  <dxfs count="9"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/>
</file>

<file path=xl/ctrlProps/ctrlProp10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GBox" noThreeD="1"/>
</file>

<file path=xl/ctrlProps/ctrlProp15.xml><?xml version="1.0" encoding="utf-8"?>
<formControlPr xmlns="http://schemas.microsoft.com/office/spreadsheetml/2009/9/main" objectType="GBox" noThreeD="1"/>
</file>

<file path=xl/ctrlProps/ctrlProp16.xml><?xml version="1.0" encoding="utf-8"?>
<formControlPr xmlns="http://schemas.microsoft.com/office/spreadsheetml/2009/9/main" objectType="GBox" noThreeD="1"/>
</file>

<file path=xl/ctrlProps/ctrlProp17.xml><?xml version="1.0" encoding="utf-8"?>
<formControlPr xmlns="http://schemas.microsoft.com/office/spreadsheetml/2009/9/main" objectType="GBox" noThreeD="1"/>
</file>

<file path=xl/ctrlProps/ctrlProp18.xml><?xml version="1.0" encoding="utf-8"?>
<formControlPr xmlns="http://schemas.microsoft.com/office/spreadsheetml/2009/9/main" objectType="GBox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CheckBox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GBox" noThreeD="1"/>
</file>

<file path=xl/ctrlProps/ctrlProp23.xml><?xml version="1.0" encoding="utf-8"?>
<formControlPr xmlns="http://schemas.microsoft.com/office/spreadsheetml/2009/9/main" objectType="GBox" noThreeD="1"/>
</file>

<file path=xl/ctrlProps/ctrlProp24.xml><?xml version="1.0" encoding="utf-8"?>
<formControlPr xmlns="http://schemas.microsoft.com/office/spreadsheetml/2009/9/main" objectType="GBox" noThreeD="1"/>
</file>

<file path=xl/ctrlProps/ctrlProp25.xml><?xml version="1.0" encoding="utf-8"?>
<formControlPr xmlns="http://schemas.microsoft.com/office/spreadsheetml/2009/9/main" objectType="GBox" noThreeD="1"/>
</file>

<file path=xl/ctrlProps/ctrlProp26.xml><?xml version="1.0" encoding="utf-8"?>
<formControlPr xmlns="http://schemas.microsoft.com/office/spreadsheetml/2009/9/main" objectType="GBox" noThreeD="1"/>
</file>

<file path=xl/ctrlProps/ctrlProp27.xml><?xml version="1.0" encoding="utf-8"?>
<formControlPr xmlns="http://schemas.microsoft.com/office/spreadsheetml/2009/9/main" objectType="GBox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457200</xdr:colOff>
          <xdr:row>8</xdr:row>
          <xdr:rowOff>66675</xdr:rowOff>
        </xdr:from>
        <xdr:to>
          <xdr:col>1</xdr:col>
          <xdr:colOff>238125</xdr:colOff>
          <xdr:row>10</xdr:row>
          <xdr:rowOff>19050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8</xdr:row>
          <xdr:rowOff>66675</xdr:rowOff>
        </xdr:from>
        <xdr:to>
          <xdr:col>4</xdr:col>
          <xdr:colOff>28575</xdr:colOff>
          <xdr:row>10</xdr:row>
          <xdr:rowOff>19050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9</xdr:row>
          <xdr:rowOff>9525</xdr:rowOff>
        </xdr:from>
        <xdr:to>
          <xdr:col>9</xdr:col>
          <xdr:colOff>247650</xdr:colOff>
          <xdr:row>10</xdr:row>
          <xdr:rowOff>9525</xdr:rowOff>
        </xdr:to>
        <xdr:sp macro="" textlink="">
          <xdr:nvSpPr>
            <xdr:cNvPr id="1076" name="Button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CH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Eingaben löschen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466725</xdr:colOff>
          <xdr:row>12</xdr:row>
          <xdr:rowOff>9525</xdr:rowOff>
        </xdr:from>
        <xdr:to>
          <xdr:col>11</xdr:col>
          <xdr:colOff>485775</xdr:colOff>
          <xdr:row>13</xdr:row>
          <xdr:rowOff>28575</xdr:rowOff>
        </xdr:to>
        <xdr:sp macro="" textlink="">
          <xdr:nvSpPr>
            <xdr:cNvPr id="1306" name="Group Box 282" descr="GroupBauernhaus" hidden="1">
              <a:extLst>
                <a:ext uri="{63B3BB69-23CF-44E3-9099-C40C66FF867C}">
                  <a14:compatExt spid="_x0000_s13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Gruppenfeld 282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17</xdr:row>
          <xdr:rowOff>38100</xdr:rowOff>
        </xdr:from>
        <xdr:to>
          <xdr:col>12</xdr:col>
          <xdr:colOff>28575</xdr:colOff>
          <xdr:row>18</xdr:row>
          <xdr:rowOff>95250</xdr:rowOff>
        </xdr:to>
        <xdr:sp macro="" textlink="">
          <xdr:nvSpPr>
            <xdr:cNvPr id="1341" name="Group Box 317" hidden="1">
              <a:extLst>
                <a:ext uri="{63B3BB69-23CF-44E3-9099-C40C66FF867C}">
                  <a14:compatExt spid="_x0000_s13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Gruppenfeld 317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457200</xdr:colOff>
          <xdr:row>12</xdr:row>
          <xdr:rowOff>9525</xdr:rowOff>
        </xdr:from>
        <xdr:to>
          <xdr:col>11</xdr:col>
          <xdr:colOff>485775</xdr:colOff>
          <xdr:row>13</xdr:row>
          <xdr:rowOff>38100</xdr:rowOff>
        </xdr:to>
        <xdr:sp macro="" textlink="">
          <xdr:nvSpPr>
            <xdr:cNvPr id="1392" name="Group Box 368" hidden="1">
              <a:extLst>
                <a:ext uri="{63B3BB69-23CF-44E3-9099-C40C66FF867C}">
                  <a14:compatExt spid="_x0000_s13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Gruppenfeld 368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17</xdr:row>
          <xdr:rowOff>38100</xdr:rowOff>
        </xdr:from>
        <xdr:to>
          <xdr:col>12</xdr:col>
          <xdr:colOff>190500</xdr:colOff>
          <xdr:row>18</xdr:row>
          <xdr:rowOff>95250</xdr:rowOff>
        </xdr:to>
        <xdr:sp macro="" textlink="">
          <xdr:nvSpPr>
            <xdr:cNvPr id="1398" name="Group Box 374" hidden="1">
              <a:extLst>
                <a:ext uri="{63B3BB69-23CF-44E3-9099-C40C66FF867C}">
                  <a14:compatExt spid="_x0000_s13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Gruppenfeld 374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18</xdr:row>
          <xdr:rowOff>38100</xdr:rowOff>
        </xdr:from>
        <xdr:to>
          <xdr:col>12</xdr:col>
          <xdr:colOff>190500</xdr:colOff>
          <xdr:row>19</xdr:row>
          <xdr:rowOff>76200</xdr:rowOff>
        </xdr:to>
        <xdr:sp macro="" textlink="">
          <xdr:nvSpPr>
            <xdr:cNvPr id="1401" name="Group Box 377" hidden="1">
              <a:extLst>
                <a:ext uri="{63B3BB69-23CF-44E3-9099-C40C66FF867C}">
                  <a14:compatExt spid="_x0000_s14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Gruppenfeld 377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19</xdr:row>
          <xdr:rowOff>47625</xdr:rowOff>
        </xdr:from>
        <xdr:to>
          <xdr:col>12</xdr:col>
          <xdr:colOff>190500</xdr:colOff>
          <xdr:row>20</xdr:row>
          <xdr:rowOff>114300</xdr:rowOff>
        </xdr:to>
        <xdr:sp macro="" textlink="">
          <xdr:nvSpPr>
            <xdr:cNvPr id="1404" name="Group Box 380" hidden="1">
              <a:extLst>
                <a:ext uri="{63B3BB69-23CF-44E3-9099-C40C66FF867C}">
                  <a14:compatExt spid="_x0000_s14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Gruppenfeld 380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20</xdr:row>
          <xdr:rowOff>66675</xdr:rowOff>
        </xdr:from>
        <xdr:to>
          <xdr:col>12</xdr:col>
          <xdr:colOff>171450</xdr:colOff>
          <xdr:row>21</xdr:row>
          <xdr:rowOff>76200</xdr:rowOff>
        </xdr:to>
        <xdr:sp macro="" textlink="">
          <xdr:nvSpPr>
            <xdr:cNvPr id="1407" name="Group Box 383" hidden="1">
              <a:extLst>
                <a:ext uri="{63B3BB69-23CF-44E3-9099-C40C66FF867C}">
                  <a14:compatExt spid="_x0000_s14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Gruppenfeld 383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21</xdr:row>
          <xdr:rowOff>19050</xdr:rowOff>
        </xdr:from>
        <xdr:to>
          <xdr:col>12</xdr:col>
          <xdr:colOff>190500</xdr:colOff>
          <xdr:row>23</xdr:row>
          <xdr:rowOff>9525</xdr:rowOff>
        </xdr:to>
        <xdr:sp macro="" textlink="">
          <xdr:nvSpPr>
            <xdr:cNvPr id="1410" name="Group Box 386" hidden="1">
              <a:extLst>
                <a:ext uri="{63B3BB69-23CF-44E3-9099-C40C66FF867C}">
                  <a14:compatExt spid="_x0000_s1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Gruppenfeld 386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18</xdr:row>
          <xdr:rowOff>38100</xdr:rowOff>
        </xdr:from>
        <xdr:to>
          <xdr:col>12</xdr:col>
          <xdr:colOff>28575</xdr:colOff>
          <xdr:row>19</xdr:row>
          <xdr:rowOff>85725</xdr:rowOff>
        </xdr:to>
        <xdr:sp macro="" textlink="">
          <xdr:nvSpPr>
            <xdr:cNvPr id="1622" name="Group Box 598" hidden="1">
              <a:extLst>
                <a:ext uri="{63B3BB69-23CF-44E3-9099-C40C66FF867C}">
                  <a14:compatExt spid="_x0000_s16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Gruppenfeld 317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18</xdr:row>
          <xdr:rowOff>38100</xdr:rowOff>
        </xdr:from>
        <xdr:to>
          <xdr:col>12</xdr:col>
          <xdr:colOff>190500</xdr:colOff>
          <xdr:row>19</xdr:row>
          <xdr:rowOff>85725</xdr:rowOff>
        </xdr:to>
        <xdr:sp macro="" textlink="">
          <xdr:nvSpPr>
            <xdr:cNvPr id="1623" name="Group Box 599" hidden="1">
              <a:extLst>
                <a:ext uri="{63B3BB69-23CF-44E3-9099-C40C66FF867C}">
                  <a14:compatExt spid="_x0000_s16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Gruppenfeld 374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19</xdr:row>
          <xdr:rowOff>38100</xdr:rowOff>
        </xdr:from>
        <xdr:to>
          <xdr:col>12</xdr:col>
          <xdr:colOff>28575</xdr:colOff>
          <xdr:row>20</xdr:row>
          <xdr:rowOff>85725</xdr:rowOff>
        </xdr:to>
        <xdr:sp macro="" textlink="">
          <xdr:nvSpPr>
            <xdr:cNvPr id="1624" name="Group Box 600" hidden="1">
              <a:extLst>
                <a:ext uri="{63B3BB69-23CF-44E3-9099-C40C66FF867C}">
                  <a14:compatExt spid="_x0000_s16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Gruppenfeld 317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19</xdr:row>
          <xdr:rowOff>38100</xdr:rowOff>
        </xdr:from>
        <xdr:to>
          <xdr:col>12</xdr:col>
          <xdr:colOff>190500</xdr:colOff>
          <xdr:row>20</xdr:row>
          <xdr:rowOff>85725</xdr:rowOff>
        </xdr:to>
        <xdr:sp macro="" textlink="">
          <xdr:nvSpPr>
            <xdr:cNvPr id="1625" name="Group Box 601" hidden="1">
              <a:extLst>
                <a:ext uri="{63B3BB69-23CF-44E3-9099-C40C66FF867C}">
                  <a14:compatExt spid="_x0000_s16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Gruppenfeld 374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20</xdr:row>
          <xdr:rowOff>38100</xdr:rowOff>
        </xdr:from>
        <xdr:to>
          <xdr:col>12</xdr:col>
          <xdr:colOff>28575</xdr:colOff>
          <xdr:row>21</xdr:row>
          <xdr:rowOff>47625</xdr:rowOff>
        </xdr:to>
        <xdr:sp macro="" textlink="">
          <xdr:nvSpPr>
            <xdr:cNvPr id="1626" name="Group Box 602" hidden="1">
              <a:extLst>
                <a:ext uri="{63B3BB69-23CF-44E3-9099-C40C66FF867C}">
                  <a14:compatExt spid="_x0000_s16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Gruppenfeld 317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20</xdr:row>
          <xdr:rowOff>38100</xdr:rowOff>
        </xdr:from>
        <xdr:to>
          <xdr:col>12</xdr:col>
          <xdr:colOff>190500</xdr:colOff>
          <xdr:row>21</xdr:row>
          <xdr:rowOff>47625</xdr:rowOff>
        </xdr:to>
        <xdr:sp macro="" textlink="">
          <xdr:nvSpPr>
            <xdr:cNvPr id="1627" name="Group Box 603" hidden="1">
              <a:extLst>
                <a:ext uri="{63B3BB69-23CF-44E3-9099-C40C66FF867C}">
                  <a14:compatExt spid="_x0000_s16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Gruppenfeld 374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20</xdr:row>
          <xdr:rowOff>38100</xdr:rowOff>
        </xdr:from>
        <xdr:to>
          <xdr:col>12</xdr:col>
          <xdr:colOff>28575</xdr:colOff>
          <xdr:row>21</xdr:row>
          <xdr:rowOff>47625</xdr:rowOff>
        </xdr:to>
        <xdr:sp macro="" textlink="">
          <xdr:nvSpPr>
            <xdr:cNvPr id="1628" name="Group Box 604" hidden="1">
              <a:extLst>
                <a:ext uri="{63B3BB69-23CF-44E3-9099-C40C66FF867C}">
                  <a14:compatExt spid="_x0000_s16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Gruppenfeld 317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20</xdr:row>
          <xdr:rowOff>38100</xdr:rowOff>
        </xdr:from>
        <xdr:to>
          <xdr:col>12</xdr:col>
          <xdr:colOff>190500</xdr:colOff>
          <xdr:row>21</xdr:row>
          <xdr:rowOff>47625</xdr:rowOff>
        </xdr:to>
        <xdr:sp macro="" textlink="">
          <xdr:nvSpPr>
            <xdr:cNvPr id="1629" name="Group Box 605" hidden="1">
              <a:extLst>
                <a:ext uri="{63B3BB69-23CF-44E3-9099-C40C66FF867C}">
                  <a14:compatExt spid="_x0000_s16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Gruppenfeld 374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21</xdr:row>
          <xdr:rowOff>0</xdr:rowOff>
        </xdr:from>
        <xdr:to>
          <xdr:col>12</xdr:col>
          <xdr:colOff>28575</xdr:colOff>
          <xdr:row>22</xdr:row>
          <xdr:rowOff>38100</xdr:rowOff>
        </xdr:to>
        <xdr:sp macro="" textlink="">
          <xdr:nvSpPr>
            <xdr:cNvPr id="1630" name="Group Box 606" hidden="1">
              <a:extLst>
                <a:ext uri="{63B3BB69-23CF-44E3-9099-C40C66FF867C}">
                  <a14:compatExt spid="_x0000_s16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Gruppenfeld 317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21</xdr:row>
          <xdr:rowOff>0</xdr:rowOff>
        </xdr:from>
        <xdr:to>
          <xdr:col>12</xdr:col>
          <xdr:colOff>190500</xdr:colOff>
          <xdr:row>22</xdr:row>
          <xdr:rowOff>38100</xdr:rowOff>
        </xdr:to>
        <xdr:sp macro="" textlink="">
          <xdr:nvSpPr>
            <xdr:cNvPr id="1631" name="Group Box 607" hidden="1">
              <a:extLst>
                <a:ext uri="{63B3BB69-23CF-44E3-9099-C40C66FF867C}">
                  <a14:compatExt spid="_x0000_s16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Gruppenfeld 374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21</xdr:row>
          <xdr:rowOff>0</xdr:rowOff>
        </xdr:from>
        <xdr:to>
          <xdr:col>12</xdr:col>
          <xdr:colOff>28575</xdr:colOff>
          <xdr:row>22</xdr:row>
          <xdr:rowOff>38100</xdr:rowOff>
        </xdr:to>
        <xdr:sp macro="" textlink="">
          <xdr:nvSpPr>
            <xdr:cNvPr id="1632" name="Group Box 608" hidden="1">
              <a:extLst>
                <a:ext uri="{63B3BB69-23CF-44E3-9099-C40C66FF867C}">
                  <a14:compatExt spid="_x0000_s16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Gruppenfeld 317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21</xdr:row>
          <xdr:rowOff>0</xdr:rowOff>
        </xdr:from>
        <xdr:to>
          <xdr:col>12</xdr:col>
          <xdr:colOff>190500</xdr:colOff>
          <xdr:row>22</xdr:row>
          <xdr:rowOff>38100</xdr:rowOff>
        </xdr:to>
        <xdr:sp macro="" textlink="">
          <xdr:nvSpPr>
            <xdr:cNvPr id="1633" name="Group Box 609" hidden="1">
              <a:extLst>
                <a:ext uri="{63B3BB69-23CF-44E3-9099-C40C66FF867C}">
                  <a14:compatExt spid="_x0000_s16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Gruppenfeld 374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21</xdr:row>
          <xdr:rowOff>190500</xdr:rowOff>
        </xdr:from>
        <xdr:to>
          <xdr:col>12</xdr:col>
          <xdr:colOff>28575</xdr:colOff>
          <xdr:row>23</xdr:row>
          <xdr:rowOff>180975</xdr:rowOff>
        </xdr:to>
        <xdr:sp macro="" textlink="">
          <xdr:nvSpPr>
            <xdr:cNvPr id="1634" name="Group Box 610" hidden="1">
              <a:extLst>
                <a:ext uri="{63B3BB69-23CF-44E3-9099-C40C66FF867C}">
                  <a14:compatExt spid="_x0000_s16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Gruppenfeld 317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21</xdr:row>
          <xdr:rowOff>190500</xdr:rowOff>
        </xdr:from>
        <xdr:to>
          <xdr:col>12</xdr:col>
          <xdr:colOff>190500</xdr:colOff>
          <xdr:row>23</xdr:row>
          <xdr:rowOff>180975</xdr:rowOff>
        </xdr:to>
        <xdr:sp macro="" textlink="">
          <xdr:nvSpPr>
            <xdr:cNvPr id="1635" name="Group Box 611" hidden="1">
              <a:extLst>
                <a:ext uri="{63B3BB69-23CF-44E3-9099-C40C66FF867C}">
                  <a14:compatExt spid="_x0000_s16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Gruppenfeld 374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466725</xdr:colOff>
          <xdr:row>13</xdr:row>
          <xdr:rowOff>9525</xdr:rowOff>
        </xdr:from>
        <xdr:to>
          <xdr:col>11</xdr:col>
          <xdr:colOff>485775</xdr:colOff>
          <xdr:row>14</xdr:row>
          <xdr:rowOff>57150</xdr:rowOff>
        </xdr:to>
        <xdr:sp macro="" textlink="">
          <xdr:nvSpPr>
            <xdr:cNvPr id="1638" name="Group Box 614" descr="GroupBauernhaus" hidden="1">
              <a:extLst>
                <a:ext uri="{63B3BB69-23CF-44E3-9099-C40C66FF867C}">
                  <a14:compatExt spid="_x0000_s16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Gruppenfeld 282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457200</xdr:colOff>
          <xdr:row>13</xdr:row>
          <xdr:rowOff>9525</xdr:rowOff>
        </xdr:from>
        <xdr:to>
          <xdr:col>11</xdr:col>
          <xdr:colOff>485775</xdr:colOff>
          <xdr:row>14</xdr:row>
          <xdr:rowOff>66675</xdr:rowOff>
        </xdr:to>
        <xdr:sp macro="" textlink="">
          <xdr:nvSpPr>
            <xdr:cNvPr id="1639" name="Group Box 615" hidden="1">
              <a:extLst>
                <a:ext uri="{63B3BB69-23CF-44E3-9099-C40C66FF867C}">
                  <a14:compatExt spid="_x0000_s16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Gruppenfeld 368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466725</xdr:colOff>
          <xdr:row>14</xdr:row>
          <xdr:rowOff>38100</xdr:rowOff>
        </xdr:from>
        <xdr:to>
          <xdr:col>11</xdr:col>
          <xdr:colOff>485775</xdr:colOff>
          <xdr:row>16</xdr:row>
          <xdr:rowOff>0</xdr:rowOff>
        </xdr:to>
        <xdr:sp macro="" textlink="">
          <xdr:nvSpPr>
            <xdr:cNvPr id="1640" name="Group Box 616" descr="GroupBauernhaus" hidden="1">
              <a:extLst>
                <a:ext uri="{63B3BB69-23CF-44E3-9099-C40C66FF867C}">
                  <a14:compatExt spid="_x0000_s16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Gruppenfeld 282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457200</xdr:colOff>
          <xdr:row>14</xdr:row>
          <xdr:rowOff>38100</xdr:rowOff>
        </xdr:from>
        <xdr:to>
          <xdr:col>11</xdr:col>
          <xdr:colOff>485775</xdr:colOff>
          <xdr:row>16</xdr:row>
          <xdr:rowOff>9525</xdr:rowOff>
        </xdr:to>
        <xdr:sp macro="" textlink="">
          <xdr:nvSpPr>
            <xdr:cNvPr id="1641" name="Group Box 617" hidden="1">
              <a:extLst>
                <a:ext uri="{63B3BB69-23CF-44E3-9099-C40C66FF867C}">
                  <a14:compatExt spid="_x0000_s16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Gruppenfeld 368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2</xdr:col>
      <xdr:colOff>343338</xdr:colOff>
      <xdr:row>3</xdr:row>
      <xdr:rowOff>101348</xdr:rowOff>
    </xdr:to>
    <xdr:pic>
      <xdr:nvPicPr>
        <xdr:cNvPr id="2" name="Picture 619" descr="\\a2va-cfs-tsusr2.infra.be.ch\usr2\Redirect\mr22\Desktop\Berner Wappen 2020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86947" cy="64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34" Type="http://schemas.openxmlformats.org/officeDocument/2006/relationships/comments" Target="../comments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2" Type="http://schemas.openxmlformats.org/officeDocument/2006/relationships/printerSettings" Target="../printerSettings/printerSettings2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trlProp" Target="../ctrlProps/ctrlProp27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AI192"/>
  <sheetViews>
    <sheetView showGridLines="0" tabSelected="1" zoomScale="120" zoomScaleNormal="120" workbookViewId="0">
      <selection activeCell="D4" sqref="D4:G4"/>
    </sheetView>
  </sheetViews>
  <sheetFormatPr baseColWidth="10" defaultColWidth="11.42578125" defaultRowHeight="12.75" x14ac:dyDescent="0.2"/>
  <cols>
    <col min="1" max="1" width="7.85546875" style="1" customWidth="1"/>
    <col min="2" max="4" width="7.85546875" style="103" customWidth="1"/>
    <col min="5" max="5" width="6.5703125" style="103" customWidth="1"/>
    <col min="6" max="6" width="7.28515625" style="104" customWidth="1"/>
    <col min="7" max="7" width="7.140625" style="105" customWidth="1"/>
    <col min="8" max="8" width="7" style="105" customWidth="1"/>
    <col min="9" max="9" width="7" style="103" customWidth="1"/>
    <col min="10" max="10" width="7.140625" style="103" customWidth="1"/>
    <col min="11" max="11" width="6.42578125" style="103" customWidth="1"/>
    <col min="12" max="12" width="7.42578125" style="104" customWidth="1"/>
    <col min="13" max="13" width="5.7109375" style="105" customWidth="1"/>
    <col min="14" max="14" width="6.140625" style="103" customWidth="1"/>
    <col min="15" max="15" width="8.42578125" style="11" hidden="1" customWidth="1"/>
    <col min="16" max="16" width="13" style="11" hidden="1" customWidth="1"/>
    <col min="17" max="17" width="20" style="11" hidden="1" customWidth="1"/>
    <col min="18" max="18" width="23.7109375" style="11" hidden="1" customWidth="1"/>
    <col min="19" max="19" width="9.140625" style="11" hidden="1" customWidth="1"/>
    <col min="20" max="20" width="5.7109375" style="11" hidden="1" customWidth="1"/>
    <col min="21" max="21" width="13.42578125" style="11" hidden="1" customWidth="1"/>
    <col min="22" max="22" width="23" style="11" hidden="1" customWidth="1"/>
    <col min="23" max="23" width="12.7109375" style="11" hidden="1" customWidth="1"/>
    <col min="24" max="24" width="5.7109375" style="11" hidden="1" customWidth="1"/>
    <col min="25" max="25" width="7.140625" style="11" hidden="1" customWidth="1"/>
    <col min="26" max="26" width="7.28515625" style="11" hidden="1" customWidth="1"/>
    <col min="27" max="27" width="6.28515625" style="11" hidden="1" customWidth="1"/>
    <col min="28" max="28" width="5.7109375" style="11" hidden="1" customWidth="1"/>
    <col min="29" max="29" width="3.85546875" style="11" hidden="1" customWidth="1"/>
    <col min="30" max="30" width="5.140625" style="11" hidden="1" customWidth="1"/>
    <col min="31" max="31" width="6.28515625" style="1" hidden="1" customWidth="1"/>
    <col min="32" max="36" width="5.7109375" style="1" customWidth="1"/>
    <col min="37" max="16384" width="11.42578125" style="1"/>
  </cols>
  <sheetData>
    <row r="1" spans="2:35" ht="18.600000000000001" customHeight="1" x14ac:dyDescent="0.2">
      <c r="B1" s="450"/>
      <c r="C1" s="258"/>
      <c r="D1" s="469" t="s">
        <v>287</v>
      </c>
      <c r="E1" s="470"/>
      <c r="F1" s="473" t="s">
        <v>288</v>
      </c>
      <c r="G1" s="473"/>
      <c r="H1" s="473"/>
      <c r="I1" s="474"/>
      <c r="J1" s="444" t="s">
        <v>49</v>
      </c>
      <c r="K1" s="445"/>
      <c r="L1" s="442"/>
      <c r="M1" s="442"/>
      <c r="N1" s="443"/>
    </row>
    <row r="2" spans="2:35" ht="17.25" customHeight="1" x14ac:dyDescent="0.25">
      <c r="B2" s="451"/>
      <c r="C2" s="182"/>
      <c r="D2" s="471"/>
      <c r="E2" s="472"/>
      <c r="F2" s="475"/>
      <c r="G2" s="475"/>
      <c r="H2" s="475"/>
      <c r="I2" s="476"/>
      <c r="J2" s="448" t="s">
        <v>48</v>
      </c>
      <c r="K2" s="449"/>
      <c r="L2" s="446"/>
      <c r="M2" s="446"/>
      <c r="N2" s="447"/>
    </row>
    <row r="3" spans="2:35" ht="7.5" customHeight="1" x14ac:dyDescent="0.2">
      <c r="B3" s="43"/>
      <c r="C3" s="44"/>
      <c r="D3" s="45"/>
      <c r="E3" s="45"/>
      <c r="F3" s="45"/>
      <c r="G3" s="45"/>
      <c r="H3" s="45"/>
      <c r="I3" s="45"/>
      <c r="J3" s="46"/>
      <c r="K3" s="47"/>
      <c r="L3" s="47"/>
      <c r="M3" s="47"/>
      <c r="N3" s="47"/>
    </row>
    <row r="4" spans="2:35" ht="20.100000000000001" customHeight="1" x14ac:dyDescent="0.2">
      <c r="B4" s="456" t="s">
        <v>33</v>
      </c>
      <c r="C4" s="456"/>
      <c r="D4" s="481"/>
      <c r="E4" s="488"/>
      <c r="F4" s="488"/>
      <c r="G4" s="488"/>
      <c r="H4" s="467" t="s">
        <v>31</v>
      </c>
      <c r="I4" s="468"/>
      <c r="J4" s="481"/>
      <c r="K4" s="482"/>
      <c r="L4" s="482"/>
      <c r="M4" s="483"/>
      <c r="N4" s="483"/>
    </row>
    <row r="5" spans="2:35" ht="20.100000000000001" customHeight="1" x14ac:dyDescent="0.2">
      <c r="B5" s="457" t="s">
        <v>32</v>
      </c>
      <c r="C5" s="457"/>
      <c r="D5" s="458"/>
      <c r="E5" s="459"/>
      <c r="F5" s="459"/>
      <c r="G5" s="459"/>
      <c r="H5" s="457" t="s">
        <v>16</v>
      </c>
      <c r="I5" s="462"/>
      <c r="J5" s="462"/>
      <c r="K5" s="462"/>
      <c r="L5" s="458"/>
      <c r="M5" s="465"/>
      <c r="N5" s="465"/>
      <c r="AI5" s="5"/>
    </row>
    <row r="6" spans="2:35" ht="20.100000000000001" customHeight="1" x14ac:dyDescent="0.2">
      <c r="B6" s="457" t="s">
        <v>46</v>
      </c>
      <c r="C6" s="457"/>
      <c r="D6" s="452"/>
      <c r="E6" s="453"/>
      <c r="F6" s="453"/>
      <c r="G6" s="453"/>
      <c r="H6" s="457" t="s">
        <v>47</v>
      </c>
      <c r="I6" s="462"/>
      <c r="J6" s="458"/>
      <c r="K6" s="465"/>
      <c r="L6" s="465"/>
      <c r="M6" s="466"/>
      <c r="N6" s="466"/>
    </row>
    <row r="7" spans="2:35" ht="6" customHeight="1" x14ac:dyDescent="0.2">
      <c r="B7" s="48"/>
      <c r="C7" s="48"/>
      <c r="D7" s="48"/>
      <c r="E7" s="48"/>
      <c r="F7" s="49"/>
      <c r="G7" s="49"/>
      <c r="H7" s="49"/>
      <c r="I7" s="50"/>
      <c r="J7" s="50"/>
      <c r="K7" s="50"/>
      <c r="L7" s="50"/>
      <c r="M7" s="49"/>
      <c r="N7" s="49"/>
    </row>
    <row r="8" spans="2:35" s="2" customFormat="1" ht="20.25" customHeight="1" x14ac:dyDescent="0.2">
      <c r="B8" s="489" t="s">
        <v>17</v>
      </c>
      <c r="C8" s="490"/>
      <c r="D8" s="490"/>
      <c r="E8" s="490"/>
      <c r="F8" s="491"/>
      <c r="G8" s="491"/>
      <c r="H8" s="491"/>
      <c r="I8" s="491"/>
      <c r="J8" s="491"/>
      <c r="K8" s="491"/>
      <c r="L8" s="491"/>
      <c r="M8" s="491"/>
      <c r="N8" s="49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</row>
    <row r="9" spans="2:35" ht="6" customHeight="1" x14ac:dyDescent="0.2">
      <c r="B9" s="48"/>
      <c r="C9" s="48"/>
      <c r="D9" s="48"/>
      <c r="E9" s="48"/>
      <c r="F9" s="49"/>
      <c r="G9" s="49"/>
      <c r="H9" s="49"/>
      <c r="I9" s="50"/>
      <c r="J9" s="50"/>
      <c r="K9" s="50"/>
      <c r="L9" s="50"/>
      <c r="M9" s="49"/>
      <c r="N9" s="49"/>
    </row>
    <row r="10" spans="2:35" s="3" customFormat="1" ht="15" customHeight="1" x14ac:dyDescent="0.2">
      <c r="B10" s="51" t="s">
        <v>27</v>
      </c>
      <c r="C10" s="51"/>
      <c r="D10" s="51"/>
      <c r="E10" s="51"/>
      <c r="F10" s="52"/>
      <c r="G10" s="53"/>
      <c r="H10" s="53"/>
      <c r="I10" s="51"/>
      <c r="J10" s="51"/>
      <c r="K10" s="275" t="s">
        <v>26</v>
      </c>
      <c r="L10" s="54" t="s">
        <v>25</v>
      </c>
      <c r="N10" s="54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</row>
    <row r="11" spans="2:35" s="3" customFormat="1" ht="6" customHeight="1" x14ac:dyDescent="0.2">
      <c r="B11" s="51"/>
      <c r="C11" s="51"/>
      <c r="D11" s="51"/>
      <c r="E11" s="51"/>
      <c r="F11" s="52"/>
      <c r="G11" s="53"/>
      <c r="H11" s="53"/>
      <c r="I11" s="51"/>
      <c r="J11" s="51"/>
      <c r="K11" s="51"/>
      <c r="L11" s="55"/>
      <c r="M11" s="54"/>
      <c r="N11" s="54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</row>
    <row r="12" spans="2:35" ht="60" customHeight="1" x14ac:dyDescent="0.2">
      <c r="B12" s="454" t="s">
        <v>57</v>
      </c>
      <c r="C12" s="455"/>
      <c r="D12" s="455"/>
      <c r="E12" s="125" t="s">
        <v>89</v>
      </c>
      <c r="F12" s="125" t="s">
        <v>55</v>
      </c>
      <c r="G12" s="125" t="s">
        <v>56</v>
      </c>
      <c r="H12" s="495" t="s">
        <v>155</v>
      </c>
      <c r="I12" s="455"/>
      <c r="J12" s="455"/>
      <c r="K12" s="455"/>
      <c r="L12" s="455"/>
      <c r="M12" s="460" t="s">
        <v>62</v>
      </c>
      <c r="N12" s="461"/>
      <c r="P12" s="38" t="s">
        <v>158</v>
      </c>
      <c r="R12" s="37"/>
      <c r="S12" s="37"/>
    </row>
    <row r="13" spans="2:35" s="4" customFormat="1" ht="18" customHeight="1" x14ac:dyDescent="0.2">
      <c r="B13" s="477" t="s">
        <v>75</v>
      </c>
      <c r="C13" s="478"/>
      <c r="D13" s="478"/>
      <c r="E13" s="259"/>
      <c r="F13" s="259"/>
      <c r="G13" s="259"/>
      <c r="H13" s="479"/>
      <c r="I13" s="480"/>
      <c r="J13" s="480"/>
      <c r="K13" s="480"/>
      <c r="L13" s="480"/>
      <c r="M13" s="126" t="str">
        <f>IF(H13="Güllegrube",F13*P13,"0")</f>
        <v>0</v>
      </c>
      <c r="N13" s="127" t="s">
        <v>19</v>
      </c>
      <c r="O13" s="14"/>
      <c r="P13" s="26">
        <v>60</v>
      </c>
      <c r="Q13" s="14"/>
      <c r="T13" s="14"/>
      <c r="U13" s="14"/>
      <c r="V13" s="14"/>
      <c r="W13" s="12"/>
      <c r="X13" s="14"/>
      <c r="Y13" s="14"/>
      <c r="Z13" s="14"/>
      <c r="AA13" s="14"/>
      <c r="AB13" s="14"/>
      <c r="AC13" s="14"/>
      <c r="AD13" s="14"/>
    </row>
    <row r="14" spans="2:35" s="4" customFormat="1" ht="18" customHeight="1" x14ac:dyDescent="0.2">
      <c r="B14" s="477" t="s">
        <v>76</v>
      </c>
      <c r="C14" s="478"/>
      <c r="D14" s="478"/>
      <c r="E14" s="259"/>
      <c r="F14" s="259"/>
      <c r="G14" s="259"/>
      <c r="H14" s="479"/>
      <c r="I14" s="480"/>
      <c r="J14" s="480"/>
      <c r="K14" s="480"/>
      <c r="L14" s="480"/>
      <c r="M14" s="126" t="str">
        <f>IF(H14="Güllegrube",F14*P14,"0")</f>
        <v>0</v>
      </c>
      <c r="N14" s="127" t="s">
        <v>19</v>
      </c>
      <c r="O14" s="14"/>
      <c r="P14" s="26">
        <v>60</v>
      </c>
      <c r="Q14" s="14"/>
      <c r="T14" s="14"/>
      <c r="U14" s="14"/>
      <c r="V14" s="14"/>
      <c r="W14" s="12"/>
      <c r="X14" s="14"/>
      <c r="Y14" s="14"/>
      <c r="Z14" s="14"/>
      <c r="AA14" s="14"/>
      <c r="AB14" s="14"/>
      <c r="AC14" s="14"/>
      <c r="AD14" s="14"/>
    </row>
    <row r="15" spans="2:35" s="4" customFormat="1" ht="18" customHeight="1" x14ac:dyDescent="0.2">
      <c r="B15" s="484" t="s">
        <v>77</v>
      </c>
      <c r="C15" s="485"/>
      <c r="D15" s="485"/>
      <c r="E15" s="260"/>
      <c r="F15" s="260"/>
      <c r="G15" s="260"/>
      <c r="H15" s="496"/>
      <c r="I15" s="497"/>
      <c r="J15" s="497"/>
      <c r="K15" s="497"/>
      <c r="L15" s="497"/>
      <c r="M15" s="128" t="str">
        <f>IF(H15="Güllegrube",F15*P15,"0")</f>
        <v>0</v>
      </c>
      <c r="N15" s="129" t="s">
        <v>19</v>
      </c>
      <c r="O15" s="14"/>
      <c r="P15" s="26">
        <v>60</v>
      </c>
      <c r="Q15" s="14"/>
      <c r="T15" s="14"/>
      <c r="U15" s="14"/>
      <c r="V15" s="14"/>
      <c r="W15" s="12"/>
      <c r="X15" s="14"/>
      <c r="Y15" s="14"/>
      <c r="Z15" s="14"/>
      <c r="AA15" s="14"/>
      <c r="AB15" s="14"/>
      <c r="AC15" s="14"/>
      <c r="AD15" s="14"/>
    </row>
    <row r="16" spans="2:35" s="4" customFormat="1" ht="4.9000000000000004" customHeight="1" x14ac:dyDescent="0.2">
      <c r="B16" s="504"/>
      <c r="C16" s="356"/>
      <c r="D16" s="356"/>
      <c r="E16" s="356"/>
      <c r="F16" s="356"/>
      <c r="G16" s="356"/>
      <c r="H16" s="356"/>
      <c r="I16" s="356"/>
      <c r="J16" s="356"/>
      <c r="K16" s="356"/>
      <c r="L16" s="356"/>
      <c r="M16" s="356"/>
      <c r="N16" s="356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</row>
    <row r="17" spans="2:30" s="4" customFormat="1" ht="56.25" customHeight="1" x14ac:dyDescent="0.2">
      <c r="B17" s="463" t="s">
        <v>94</v>
      </c>
      <c r="C17" s="464"/>
      <c r="D17" s="464"/>
      <c r="E17" s="130" t="s">
        <v>93</v>
      </c>
      <c r="F17" s="131" t="s">
        <v>66</v>
      </c>
      <c r="G17" s="131" t="s">
        <v>92</v>
      </c>
      <c r="H17" s="493" t="s">
        <v>67</v>
      </c>
      <c r="I17" s="494"/>
      <c r="J17" s="498" t="s">
        <v>190</v>
      </c>
      <c r="K17" s="499"/>
      <c r="L17" s="500"/>
      <c r="M17" s="502" t="s">
        <v>80</v>
      </c>
      <c r="N17" s="503"/>
      <c r="O17" s="14"/>
      <c r="P17" s="26" t="s">
        <v>158</v>
      </c>
      <c r="Q17" s="14" t="s">
        <v>165</v>
      </c>
      <c r="R17" s="14" t="s">
        <v>166</v>
      </c>
      <c r="S17" s="33" t="s">
        <v>167</v>
      </c>
      <c r="T17" s="14"/>
      <c r="U17" s="14"/>
      <c r="X17" s="14"/>
      <c r="Y17" s="14"/>
      <c r="Z17" s="14"/>
      <c r="AA17" s="14"/>
      <c r="AB17" s="14"/>
      <c r="AC17" s="14"/>
      <c r="AD17" s="14"/>
    </row>
    <row r="18" spans="2:30" s="4" customFormat="1" ht="15.95" customHeight="1" x14ac:dyDescent="0.2">
      <c r="B18" s="501" t="s">
        <v>109</v>
      </c>
      <c r="C18" s="399"/>
      <c r="D18" s="399"/>
      <c r="E18" s="261"/>
      <c r="F18" s="261"/>
      <c r="G18" s="262"/>
      <c r="H18" s="398" t="s">
        <v>53</v>
      </c>
      <c r="I18" s="399"/>
      <c r="J18" s="486"/>
      <c r="K18" s="487"/>
      <c r="L18" s="487"/>
      <c r="M18" s="132">
        <f>IF(J18="im Winter (ganzes Jahr)",E18*P18/365*F18)*G18</f>
        <v>0</v>
      </c>
      <c r="N18" s="133" t="s">
        <v>19</v>
      </c>
      <c r="O18" s="14"/>
      <c r="P18" s="26">
        <v>19.2</v>
      </c>
      <c r="Q18" s="15">
        <f>SUM(E18*19.2/365*F18)*G18</f>
        <v>0</v>
      </c>
      <c r="R18" s="15">
        <f>SUM(M18)</f>
        <v>0</v>
      </c>
      <c r="S18" s="15"/>
      <c r="T18" s="14"/>
      <c r="U18" s="4" t="s">
        <v>118</v>
      </c>
      <c r="V18" s="4" t="s">
        <v>191</v>
      </c>
      <c r="W18" s="14"/>
      <c r="X18" s="14"/>
      <c r="Y18" s="14"/>
      <c r="Z18" s="14"/>
      <c r="AA18" s="14"/>
      <c r="AB18" s="14"/>
      <c r="AC18" s="14"/>
      <c r="AD18" s="14"/>
    </row>
    <row r="19" spans="2:30" s="4" customFormat="1" ht="15.95" customHeight="1" x14ac:dyDescent="0.2">
      <c r="B19" s="501" t="s">
        <v>110</v>
      </c>
      <c r="C19" s="399"/>
      <c r="D19" s="399"/>
      <c r="E19" s="261"/>
      <c r="F19" s="261"/>
      <c r="G19" s="262"/>
      <c r="H19" s="398" t="s">
        <v>53</v>
      </c>
      <c r="I19" s="399"/>
      <c r="J19" s="486"/>
      <c r="K19" s="487"/>
      <c r="L19" s="487"/>
      <c r="M19" s="132">
        <f>IF(J19="im Winter (ganzes Jahr)",E19*P19/365*F19)*G19</f>
        <v>0</v>
      </c>
      <c r="N19" s="133" t="s">
        <v>19</v>
      </c>
      <c r="O19" s="14"/>
      <c r="P19" s="26">
        <v>3.6</v>
      </c>
      <c r="Q19" s="15">
        <f>SUM(G19*3.6/365*E19)*F19</f>
        <v>0</v>
      </c>
      <c r="R19" s="15">
        <f>SUM(M19)</f>
        <v>0</v>
      </c>
      <c r="S19" s="15"/>
      <c r="T19" s="14"/>
      <c r="U19" s="4" t="s">
        <v>192</v>
      </c>
      <c r="V19" s="4" t="s">
        <v>195</v>
      </c>
      <c r="W19" s="14"/>
      <c r="X19" s="14"/>
      <c r="Y19" s="14"/>
      <c r="Z19" s="14"/>
      <c r="AA19" s="14"/>
      <c r="AB19" s="14"/>
      <c r="AC19" s="14"/>
      <c r="AD19" s="14"/>
    </row>
    <row r="20" spans="2:30" s="4" customFormat="1" ht="15.95" customHeight="1" x14ac:dyDescent="0.2">
      <c r="B20" s="331" t="s">
        <v>59</v>
      </c>
      <c r="C20" s="399"/>
      <c r="D20" s="399"/>
      <c r="E20" s="261"/>
      <c r="F20" s="261"/>
      <c r="G20" s="262"/>
      <c r="H20" s="398" t="s">
        <v>53</v>
      </c>
      <c r="I20" s="399"/>
      <c r="J20" s="486"/>
      <c r="K20" s="487"/>
      <c r="L20" s="487"/>
      <c r="M20" s="132">
        <f>IF(J20="im Winter (ganzes Jahr)",E20*P20/365*F20)*G20</f>
        <v>0</v>
      </c>
      <c r="N20" s="133" t="s">
        <v>19</v>
      </c>
      <c r="O20" s="14"/>
      <c r="P20" s="26">
        <v>19.2</v>
      </c>
      <c r="Q20" s="15">
        <f>SUM(G20*19.2/365*E20)*F20</f>
        <v>0</v>
      </c>
      <c r="R20" s="15">
        <f>SUM(M20)</f>
        <v>0</v>
      </c>
      <c r="S20" s="15"/>
      <c r="T20" s="14"/>
      <c r="U20" s="4" t="s">
        <v>193</v>
      </c>
      <c r="V20" s="4" t="s">
        <v>196</v>
      </c>
      <c r="W20" s="14"/>
      <c r="X20" s="14"/>
      <c r="Y20" s="14"/>
      <c r="Z20" s="14"/>
      <c r="AA20" s="14"/>
      <c r="AB20" s="14"/>
      <c r="AC20" s="14"/>
      <c r="AD20" s="14"/>
    </row>
    <row r="21" spans="2:30" s="4" customFormat="1" ht="15.95" customHeight="1" x14ac:dyDescent="0.2">
      <c r="B21" s="331" t="s">
        <v>60</v>
      </c>
      <c r="C21" s="399"/>
      <c r="D21" s="399"/>
      <c r="E21" s="261"/>
      <c r="F21" s="261"/>
      <c r="G21" s="262"/>
      <c r="H21" s="398" t="s">
        <v>58</v>
      </c>
      <c r="I21" s="399"/>
      <c r="J21" s="486"/>
      <c r="K21" s="487"/>
      <c r="L21" s="487"/>
      <c r="M21" s="132">
        <f>IF(J21="im Winter (ganzes Jahr)",E21*P21/365*F21)*G21</f>
        <v>0</v>
      </c>
      <c r="N21" s="133" t="s">
        <v>19</v>
      </c>
      <c r="O21" s="14"/>
      <c r="P21" s="26">
        <v>60</v>
      </c>
      <c r="Q21" s="15">
        <f>SUM(G21*60/365*E21)*F21</f>
        <v>0</v>
      </c>
      <c r="R21" s="15">
        <f>SUM(M21)</f>
        <v>0</v>
      </c>
      <c r="S21" s="15"/>
      <c r="T21" s="14"/>
      <c r="U21" s="4" t="s">
        <v>194</v>
      </c>
      <c r="V21" s="4" t="s">
        <v>197</v>
      </c>
      <c r="W21" s="14"/>
      <c r="X21" s="14"/>
      <c r="Y21" s="14"/>
      <c r="Z21" s="14"/>
      <c r="AA21" s="14"/>
      <c r="AB21" s="14"/>
      <c r="AC21" s="14"/>
      <c r="AD21" s="14"/>
    </row>
    <row r="22" spans="2:30" s="4" customFormat="1" ht="15.95" customHeight="1" x14ac:dyDescent="0.2">
      <c r="B22" s="396" t="s">
        <v>61</v>
      </c>
      <c r="C22" s="397"/>
      <c r="D22" s="397"/>
      <c r="E22" s="263"/>
      <c r="F22" s="263"/>
      <c r="G22" s="264"/>
      <c r="H22" s="505" t="s">
        <v>58</v>
      </c>
      <c r="I22" s="397"/>
      <c r="J22" s="506"/>
      <c r="K22" s="507"/>
      <c r="L22" s="507"/>
      <c r="M22" s="134">
        <f>IF(J22="im Winter (ganzes Jahr)",E22*P22/365*F22)*G22</f>
        <v>0</v>
      </c>
      <c r="N22" s="135" t="s">
        <v>19</v>
      </c>
      <c r="O22" s="14"/>
      <c r="P22" s="26">
        <v>26.4</v>
      </c>
      <c r="Q22" s="15">
        <f>SUM(G22*26.4/365*E22)*F22</f>
        <v>0</v>
      </c>
      <c r="R22" s="15">
        <f>SUM(M22)</f>
        <v>0</v>
      </c>
      <c r="S22" s="15"/>
      <c r="T22" s="14"/>
      <c r="U22" s="4" t="s">
        <v>199</v>
      </c>
      <c r="V22" s="4" t="s">
        <v>198</v>
      </c>
      <c r="W22" s="14"/>
      <c r="X22" s="14"/>
      <c r="Y22" s="14"/>
      <c r="Z22" s="14"/>
      <c r="AA22" s="14"/>
      <c r="AB22" s="14"/>
      <c r="AC22" s="14"/>
      <c r="AD22" s="14"/>
    </row>
    <row r="23" spans="2:30" s="4" customFormat="1" ht="4.9000000000000004" customHeight="1" x14ac:dyDescent="0.2">
      <c r="B23" s="56"/>
      <c r="C23" s="56"/>
      <c r="D23" s="56"/>
      <c r="E23" s="56"/>
      <c r="F23" s="57"/>
      <c r="G23" s="58"/>
      <c r="H23" s="58"/>
      <c r="I23" s="59"/>
      <c r="J23" s="59"/>
      <c r="K23" s="57"/>
      <c r="L23" s="58"/>
      <c r="M23" s="57"/>
      <c r="N23" s="58"/>
      <c r="O23" s="14"/>
      <c r="P23" s="14"/>
      <c r="Q23" s="14"/>
      <c r="R23" s="14"/>
      <c r="S23" s="14"/>
      <c r="T23" s="14"/>
      <c r="W23" s="14"/>
      <c r="X23" s="14"/>
      <c r="Y23" s="14"/>
      <c r="Z23" s="14"/>
      <c r="AA23" s="14"/>
      <c r="AB23" s="14"/>
      <c r="AC23" s="14"/>
      <c r="AD23" s="14"/>
    </row>
    <row r="24" spans="2:30" s="4" customFormat="1" ht="24.95" customHeight="1" x14ac:dyDescent="0.2">
      <c r="B24" s="355" t="s">
        <v>45</v>
      </c>
      <c r="C24" s="356"/>
      <c r="D24" s="356"/>
      <c r="E24" s="356"/>
      <c r="F24" s="357"/>
      <c r="G24" s="365" t="s">
        <v>54</v>
      </c>
      <c r="H24" s="356"/>
      <c r="I24" s="356"/>
      <c r="J24" s="356"/>
      <c r="K24" s="356"/>
      <c r="L24" s="356"/>
      <c r="M24" s="356"/>
      <c r="N24" s="357"/>
      <c r="O24" s="14"/>
      <c r="P24" s="14"/>
      <c r="Q24" s="15">
        <f>SUM(Q18:Q23)</f>
        <v>0</v>
      </c>
      <c r="R24" s="15">
        <f>SUM(R18:R23)</f>
        <v>0</v>
      </c>
      <c r="S24" s="15">
        <f>SUM(Q24-R24)</f>
        <v>0</v>
      </c>
      <c r="W24" s="15"/>
      <c r="X24" s="14"/>
      <c r="Y24" s="14"/>
      <c r="Z24" s="14"/>
      <c r="AA24" s="14"/>
      <c r="AB24" s="14"/>
      <c r="AC24" s="14"/>
      <c r="AD24" s="14"/>
    </row>
    <row r="25" spans="2:30" s="4" customFormat="1" ht="27.75" customHeight="1" x14ac:dyDescent="0.2">
      <c r="B25" s="353" t="s">
        <v>7</v>
      </c>
      <c r="C25" s="358"/>
      <c r="D25" s="358"/>
      <c r="E25" s="136" t="s">
        <v>0</v>
      </c>
      <c r="F25" s="136" t="s">
        <v>212</v>
      </c>
      <c r="G25" s="138" t="s">
        <v>104</v>
      </c>
      <c r="H25" s="138" t="s">
        <v>260</v>
      </c>
      <c r="I25" s="138" t="s">
        <v>105</v>
      </c>
      <c r="J25" s="138" t="s">
        <v>261</v>
      </c>
      <c r="K25" s="138" t="s">
        <v>106</v>
      </c>
      <c r="L25" s="137" t="s">
        <v>107</v>
      </c>
      <c r="M25" s="136" t="s">
        <v>210</v>
      </c>
      <c r="N25" s="166" t="s">
        <v>209</v>
      </c>
      <c r="O25" s="16" t="s">
        <v>95</v>
      </c>
      <c r="P25" s="26" t="s">
        <v>118</v>
      </c>
      <c r="Q25" s="12" t="s">
        <v>111</v>
      </c>
      <c r="R25" s="12" t="s">
        <v>114</v>
      </c>
      <c r="S25" s="26" t="s">
        <v>159</v>
      </c>
      <c r="T25" s="26" t="s">
        <v>160</v>
      </c>
      <c r="U25" s="12" t="s">
        <v>112</v>
      </c>
      <c r="V25" s="12" t="s">
        <v>115</v>
      </c>
      <c r="W25" s="26" t="s">
        <v>161</v>
      </c>
      <c r="X25" s="26" t="s">
        <v>162</v>
      </c>
      <c r="Y25" s="12" t="s">
        <v>113</v>
      </c>
      <c r="Z25" s="12" t="s">
        <v>116</v>
      </c>
      <c r="AA25" s="26" t="s">
        <v>163</v>
      </c>
      <c r="AB25" s="26" t="s">
        <v>164</v>
      </c>
      <c r="AC25" s="16" t="s">
        <v>96</v>
      </c>
      <c r="AD25" s="28" t="s">
        <v>119</v>
      </c>
    </row>
    <row r="26" spans="2:30" s="4" customFormat="1" ht="15.95" customHeight="1" x14ac:dyDescent="0.2">
      <c r="B26" s="333" t="s">
        <v>1</v>
      </c>
      <c r="C26" s="334"/>
      <c r="D26" s="334"/>
      <c r="E26" s="265"/>
      <c r="F26" s="139">
        <f>SUM(E26*1)</f>
        <v>0</v>
      </c>
      <c r="G26" s="266"/>
      <c r="H26" s="267"/>
      <c r="I26" s="267"/>
      <c r="J26" s="267"/>
      <c r="K26" s="267"/>
      <c r="L26" s="268"/>
      <c r="M26" s="167">
        <f t="shared" ref="M26:M32" si="0">SUM(O26+Q26+U26+Y26)</f>
        <v>0</v>
      </c>
      <c r="N26" s="155">
        <f t="shared" ref="N26:N34" si="1">SUM((R26+V26+Z26+AC26)/0.8)</f>
        <v>0</v>
      </c>
      <c r="O26" s="29">
        <f>SUM(G26*P26)</f>
        <v>0</v>
      </c>
      <c r="P26" s="26">
        <v>23</v>
      </c>
      <c r="Q26" s="29">
        <f>SUM(H26*S26)</f>
        <v>0</v>
      </c>
      <c r="R26" s="29">
        <f>SUM(H26*T26)</f>
        <v>0</v>
      </c>
      <c r="S26" s="26">
        <v>17.3</v>
      </c>
      <c r="T26" s="26">
        <v>5.3</v>
      </c>
      <c r="U26" s="29">
        <f t="shared" ref="U26:U32" si="2">SUM(I26*W26)</f>
        <v>0</v>
      </c>
      <c r="V26" s="29">
        <f t="shared" ref="V26:V32" si="3">SUM(I26*X26)</f>
        <v>0</v>
      </c>
      <c r="W26" s="26">
        <v>11.5</v>
      </c>
      <c r="X26" s="26">
        <v>10.5</v>
      </c>
      <c r="Y26" s="29">
        <f>SUM(J26*AA26)</f>
        <v>0</v>
      </c>
      <c r="Z26" s="29">
        <f>SUM(J26*AB26)</f>
        <v>0</v>
      </c>
      <c r="AA26" s="26">
        <v>5.8</v>
      </c>
      <c r="AB26" s="26">
        <v>15.8</v>
      </c>
      <c r="AC26" s="29">
        <f t="shared" ref="AC26:AC34" si="4">SUM(K26*AD26)</f>
        <v>0</v>
      </c>
      <c r="AD26" s="28">
        <v>21</v>
      </c>
    </row>
    <row r="27" spans="2:30" s="4" customFormat="1" ht="15.95" customHeight="1" x14ac:dyDescent="0.2">
      <c r="B27" s="333" t="s">
        <v>83</v>
      </c>
      <c r="C27" s="334"/>
      <c r="D27" s="334"/>
      <c r="E27" s="265"/>
      <c r="F27" s="139">
        <f>SUM(E27*1)</f>
        <v>0</v>
      </c>
      <c r="G27" s="269"/>
      <c r="H27" s="267"/>
      <c r="I27" s="267"/>
      <c r="J27" s="267"/>
      <c r="K27" s="267"/>
      <c r="L27" s="268"/>
      <c r="M27" s="167">
        <f t="shared" si="0"/>
        <v>0</v>
      </c>
      <c r="N27" s="155">
        <f t="shared" si="1"/>
        <v>0</v>
      </c>
      <c r="O27" s="29">
        <f t="shared" ref="O27:O34" si="5">SUM(G27*P27)</f>
        <v>0</v>
      </c>
      <c r="P27" s="26">
        <v>17</v>
      </c>
      <c r="Q27" s="29">
        <f>SUM(H27*S27)</f>
        <v>0</v>
      </c>
      <c r="R27" s="29">
        <f>SUM(H27*T27)</f>
        <v>0</v>
      </c>
      <c r="S27" s="26">
        <v>12.8</v>
      </c>
      <c r="T27" s="26">
        <v>4</v>
      </c>
      <c r="U27" s="29">
        <f t="shared" si="2"/>
        <v>0</v>
      </c>
      <c r="V27" s="29">
        <f t="shared" si="3"/>
        <v>0</v>
      </c>
      <c r="W27" s="26">
        <v>8.5</v>
      </c>
      <c r="X27" s="26">
        <v>8</v>
      </c>
      <c r="Y27" s="29">
        <f>SUM(J27*AA27)</f>
        <v>0</v>
      </c>
      <c r="Z27" s="29">
        <f>SUM(J27*AB27)</f>
        <v>0</v>
      </c>
      <c r="AA27" s="26">
        <v>4.3</v>
      </c>
      <c r="AB27" s="26">
        <v>12</v>
      </c>
      <c r="AC27" s="29">
        <f t="shared" si="4"/>
        <v>0</v>
      </c>
      <c r="AD27" s="28">
        <v>16</v>
      </c>
    </row>
    <row r="28" spans="2:30" s="4" customFormat="1" ht="15.95" customHeight="1" x14ac:dyDescent="0.2">
      <c r="B28" s="333" t="s">
        <v>84</v>
      </c>
      <c r="C28" s="334"/>
      <c r="D28" s="334"/>
      <c r="E28" s="265"/>
      <c r="F28" s="139">
        <f>SUM(E28*0.22)</f>
        <v>0</v>
      </c>
      <c r="G28" s="247" t="s">
        <v>2</v>
      </c>
      <c r="H28" s="247" t="s">
        <v>2</v>
      </c>
      <c r="I28" s="267"/>
      <c r="J28" s="247" t="s">
        <v>2</v>
      </c>
      <c r="K28" s="267"/>
      <c r="L28" s="268"/>
      <c r="M28" s="167">
        <f t="shared" si="0"/>
        <v>0</v>
      </c>
      <c r="N28" s="155">
        <f t="shared" si="1"/>
        <v>0</v>
      </c>
      <c r="O28" s="29"/>
      <c r="P28" s="26"/>
      <c r="Q28" s="29"/>
      <c r="R28" s="29"/>
      <c r="S28" s="26"/>
      <c r="T28" s="26"/>
      <c r="U28" s="29">
        <f t="shared" si="2"/>
        <v>0</v>
      </c>
      <c r="V28" s="29">
        <f t="shared" si="3"/>
        <v>0</v>
      </c>
      <c r="W28" s="26">
        <v>2.2999999999999998</v>
      </c>
      <c r="X28" s="26">
        <v>2</v>
      </c>
      <c r="Y28" s="29"/>
      <c r="Z28" s="29"/>
      <c r="AA28" s="26"/>
      <c r="AB28" s="26"/>
      <c r="AC28" s="29">
        <f t="shared" si="4"/>
        <v>0</v>
      </c>
      <c r="AD28" s="28">
        <v>3.9</v>
      </c>
    </row>
    <row r="29" spans="2:30" s="4" customFormat="1" ht="15.95" customHeight="1" x14ac:dyDescent="0.2">
      <c r="B29" s="333" t="s">
        <v>34</v>
      </c>
      <c r="C29" s="334"/>
      <c r="D29" s="334"/>
      <c r="E29" s="265"/>
      <c r="F29" s="139">
        <f>SUM(E29*0.6)</f>
        <v>0</v>
      </c>
      <c r="G29" s="269"/>
      <c r="H29" s="269"/>
      <c r="I29" s="267"/>
      <c r="J29" s="267"/>
      <c r="K29" s="267"/>
      <c r="L29" s="268"/>
      <c r="M29" s="167">
        <f t="shared" si="0"/>
        <v>0</v>
      </c>
      <c r="N29" s="155">
        <f t="shared" si="1"/>
        <v>0</v>
      </c>
      <c r="O29" s="29">
        <f t="shared" si="5"/>
        <v>0</v>
      </c>
      <c r="P29" s="26">
        <v>18.399999999999999</v>
      </c>
      <c r="Q29" s="29">
        <f>SUM(H29*S29)</f>
        <v>0</v>
      </c>
      <c r="R29" s="29">
        <f>SUM(H29*T29)</f>
        <v>0</v>
      </c>
      <c r="S29" s="26">
        <v>13.8</v>
      </c>
      <c r="T29" s="26">
        <v>4.2</v>
      </c>
      <c r="U29" s="29">
        <f t="shared" si="2"/>
        <v>0</v>
      </c>
      <c r="V29" s="29">
        <f t="shared" si="3"/>
        <v>0</v>
      </c>
      <c r="W29" s="26">
        <v>9.1999999999999993</v>
      </c>
      <c r="X29" s="26">
        <v>8.4</v>
      </c>
      <c r="Y29" s="29">
        <f>SUM(J29*AA29)</f>
        <v>0</v>
      </c>
      <c r="Z29" s="29">
        <f>SUM(J29*AB29)</f>
        <v>0</v>
      </c>
      <c r="AA29" s="26">
        <v>4.5999999999999996</v>
      </c>
      <c r="AB29" s="26">
        <v>12.6</v>
      </c>
      <c r="AC29" s="29">
        <f t="shared" si="4"/>
        <v>0</v>
      </c>
      <c r="AD29" s="28">
        <v>16.8</v>
      </c>
    </row>
    <row r="30" spans="2:30" s="4" customFormat="1" ht="26.1" customHeight="1" x14ac:dyDescent="0.2">
      <c r="B30" s="346" t="s">
        <v>137</v>
      </c>
      <c r="C30" s="334"/>
      <c r="D30" s="334"/>
      <c r="E30" s="265"/>
      <c r="F30" s="139">
        <f>SUM(E30*0.23)</f>
        <v>0</v>
      </c>
      <c r="G30" s="269"/>
      <c r="H30" s="269"/>
      <c r="I30" s="267"/>
      <c r="J30" s="267"/>
      <c r="K30" s="267"/>
      <c r="L30" s="268"/>
      <c r="M30" s="167">
        <f t="shared" si="0"/>
        <v>0</v>
      </c>
      <c r="N30" s="155">
        <f t="shared" si="1"/>
        <v>0</v>
      </c>
      <c r="O30" s="29">
        <f t="shared" si="5"/>
        <v>0</v>
      </c>
      <c r="P30" s="26">
        <v>4.8</v>
      </c>
      <c r="Q30" s="29">
        <f>SUM(H30*S30)</f>
        <v>0</v>
      </c>
      <c r="R30" s="29">
        <f>SUM(H30*T30)</f>
        <v>0</v>
      </c>
      <c r="S30" s="26">
        <v>3.6</v>
      </c>
      <c r="T30" s="26">
        <v>1.2</v>
      </c>
      <c r="U30" s="29">
        <f t="shared" si="2"/>
        <v>0</v>
      </c>
      <c r="V30" s="29">
        <f t="shared" si="3"/>
        <v>0</v>
      </c>
      <c r="W30" s="26">
        <v>2.4</v>
      </c>
      <c r="X30" s="26">
        <v>2.2999999999999998</v>
      </c>
      <c r="Y30" s="29">
        <f>SUM(J30*AA30)</f>
        <v>0</v>
      </c>
      <c r="Z30" s="29">
        <f>SUM(J30*AB30)</f>
        <v>0</v>
      </c>
      <c r="AA30" s="26">
        <v>1.2</v>
      </c>
      <c r="AB30" s="26">
        <v>3.5</v>
      </c>
      <c r="AC30" s="29">
        <f t="shared" si="4"/>
        <v>0</v>
      </c>
      <c r="AD30" s="28">
        <v>4.5999999999999996</v>
      </c>
    </row>
    <row r="31" spans="2:30" s="4" customFormat="1" ht="26.1" customHeight="1" x14ac:dyDescent="0.2">
      <c r="B31" s="346" t="s">
        <v>138</v>
      </c>
      <c r="C31" s="334"/>
      <c r="D31" s="334"/>
      <c r="E31" s="265"/>
      <c r="F31" s="139">
        <f>SUM(E31*0.4)</f>
        <v>0</v>
      </c>
      <c r="G31" s="269"/>
      <c r="H31" s="269"/>
      <c r="I31" s="267"/>
      <c r="J31" s="267"/>
      <c r="K31" s="267"/>
      <c r="L31" s="268"/>
      <c r="M31" s="167">
        <f t="shared" si="0"/>
        <v>0</v>
      </c>
      <c r="N31" s="155">
        <f t="shared" si="1"/>
        <v>0</v>
      </c>
      <c r="O31" s="29">
        <f t="shared" si="5"/>
        <v>0</v>
      </c>
      <c r="P31" s="26">
        <v>8</v>
      </c>
      <c r="Q31" s="29">
        <f>SUM(H31*S31)</f>
        <v>0</v>
      </c>
      <c r="R31" s="29">
        <f>SUM(H31*T31)</f>
        <v>0</v>
      </c>
      <c r="S31" s="26">
        <v>6</v>
      </c>
      <c r="T31" s="26">
        <v>1.9</v>
      </c>
      <c r="U31" s="29">
        <f t="shared" si="2"/>
        <v>0</v>
      </c>
      <c r="V31" s="29">
        <f t="shared" si="3"/>
        <v>0</v>
      </c>
      <c r="W31" s="26">
        <v>4</v>
      </c>
      <c r="X31" s="26">
        <v>3.8</v>
      </c>
      <c r="Y31" s="29">
        <f>SUM(J31*AA31)</f>
        <v>0</v>
      </c>
      <c r="Z31" s="29">
        <f>SUM(J31*AB31)</f>
        <v>0</v>
      </c>
      <c r="AA31" s="26">
        <v>2</v>
      </c>
      <c r="AB31" s="26">
        <v>5.7</v>
      </c>
      <c r="AC31" s="29">
        <f t="shared" si="4"/>
        <v>0</v>
      </c>
      <c r="AD31" s="28">
        <v>7.6</v>
      </c>
    </row>
    <row r="32" spans="2:30" s="4" customFormat="1" ht="26.1" customHeight="1" x14ac:dyDescent="0.2">
      <c r="B32" s="346" t="s">
        <v>139</v>
      </c>
      <c r="C32" s="334"/>
      <c r="D32" s="334"/>
      <c r="E32" s="265"/>
      <c r="F32" s="139">
        <f>SUM(E32*0.6)</f>
        <v>0</v>
      </c>
      <c r="G32" s="269"/>
      <c r="H32" s="269"/>
      <c r="I32" s="267"/>
      <c r="J32" s="267"/>
      <c r="K32" s="267"/>
      <c r="L32" s="268"/>
      <c r="M32" s="167">
        <f t="shared" si="0"/>
        <v>0</v>
      </c>
      <c r="N32" s="155">
        <f t="shared" si="1"/>
        <v>0</v>
      </c>
      <c r="O32" s="29">
        <f t="shared" si="5"/>
        <v>0</v>
      </c>
      <c r="P32" s="26">
        <v>12</v>
      </c>
      <c r="Q32" s="29">
        <f>SUM(H32*S32)</f>
        <v>0</v>
      </c>
      <c r="R32" s="29">
        <f>SUM(H32*T32)</f>
        <v>0</v>
      </c>
      <c r="S32" s="26">
        <v>9</v>
      </c>
      <c r="T32" s="26">
        <v>2.5</v>
      </c>
      <c r="U32" s="29">
        <f t="shared" si="2"/>
        <v>0</v>
      </c>
      <c r="V32" s="29">
        <f t="shared" si="3"/>
        <v>0</v>
      </c>
      <c r="W32" s="26">
        <v>6</v>
      </c>
      <c r="X32" s="26">
        <v>5</v>
      </c>
      <c r="Y32" s="29">
        <f>SUM(J32*AA32)</f>
        <v>0</v>
      </c>
      <c r="Z32" s="29">
        <f>SUM(J32*AB32)</f>
        <v>0</v>
      </c>
      <c r="AA32" s="26">
        <v>3</v>
      </c>
      <c r="AB32" s="26">
        <v>7.5</v>
      </c>
      <c r="AC32" s="29">
        <f t="shared" si="4"/>
        <v>0</v>
      </c>
      <c r="AD32" s="28">
        <v>10</v>
      </c>
    </row>
    <row r="33" spans="2:30" s="4" customFormat="1" ht="15.95" customHeight="1" x14ac:dyDescent="0.2">
      <c r="B33" s="333" t="s">
        <v>35</v>
      </c>
      <c r="C33" s="334"/>
      <c r="D33" s="334"/>
      <c r="E33" s="265"/>
      <c r="F33" s="139">
        <f>SUM(E33*0.1)</f>
        <v>0</v>
      </c>
      <c r="G33" s="142" t="s">
        <v>2</v>
      </c>
      <c r="H33" s="142" t="s">
        <v>2</v>
      </c>
      <c r="I33" s="141" t="s">
        <v>2</v>
      </c>
      <c r="J33" s="142" t="s">
        <v>2</v>
      </c>
      <c r="K33" s="142">
        <f>SUM(E33)</f>
        <v>0</v>
      </c>
      <c r="L33" s="142" t="s">
        <v>2</v>
      </c>
      <c r="M33" s="168" t="s">
        <v>2</v>
      </c>
      <c r="N33" s="155">
        <f t="shared" si="1"/>
        <v>0</v>
      </c>
      <c r="O33" s="29"/>
      <c r="P33" s="26"/>
      <c r="Q33" s="29"/>
      <c r="R33" s="29"/>
      <c r="S33" s="26"/>
      <c r="T33" s="26"/>
      <c r="U33" s="29"/>
      <c r="V33" s="29"/>
      <c r="W33" s="26"/>
      <c r="X33" s="26"/>
      <c r="Y33" s="29"/>
      <c r="Z33" s="29"/>
      <c r="AA33" s="26"/>
      <c r="AB33" s="26"/>
      <c r="AC33" s="29">
        <f t="shared" si="4"/>
        <v>0</v>
      </c>
      <c r="AD33" s="28">
        <v>3.2</v>
      </c>
    </row>
    <row r="34" spans="2:30" s="4" customFormat="1" ht="26.1" customHeight="1" x14ac:dyDescent="0.2">
      <c r="B34" s="346" t="s">
        <v>117</v>
      </c>
      <c r="C34" s="334"/>
      <c r="D34" s="334"/>
      <c r="E34" s="265"/>
      <c r="F34" s="139">
        <f>SUM(E34*0.27)</f>
        <v>0</v>
      </c>
      <c r="G34" s="269"/>
      <c r="H34" s="269"/>
      <c r="I34" s="267"/>
      <c r="J34" s="267"/>
      <c r="K34" s="267"/>
      <c r="L34" s="268"/>
      <c r="M34" s="167">
        <f>SUM(O34+Q34+U34+Y34)</f>
        <v>0</v>
      </c>
      <c r="N34" s="155">
        <f t="shared" si="1"/>
        <v>0</v>
      </c>
      <c r="O34" s="29">
        <f t="shared" si="5"/>
        <v>0</v>
      </c>
      <c r="P34" s="26">
        <v>5.8</v>
      </c>
      <c r="Q34" s="29">
        <f>SUM(H34*S34)</f>
        <v>0</v>
      </c>
      <c r="R34" s="29">
        <f>SUM(H34*T34)</f>
        <v>0</v>
      </c>
      <c r="S34" s="26">
        <v>4.4000000000000004</v>
      </c>
      <c r="T34" s="26">
        <v>1.3</v>
      </c>
      <c r="U34" s="29">
        <f>SUM(I34*W34)</f>
        <v>0</v>
      </c>
      <c r="V34" s="29">
        <f>SUM(I34*X34)</f>
        <v>0</v>
      </c>
      <c r="W34" s="26">
        <v>2.9</v>
      </c>
      <c r="X34" s="26">
        <v>2.6</v>
      </c>
      <c r="Y34" s="29">
        <f>SUM(J34*AA34)</f>
        <v>0</v>
      </c>
      <c r="Z34" s="29">
        <f>SUM(J34*AB34)</f>
        <v>0</v>
      </c>
      <c r="AA34" s="26">
        <v>1.5</v>
      </c>
      <c r="AB34" s="26">
        <v>4</v>
      </c>
      <c r="AC34" s="29">
        <f t="shared" si="4"/>
        <v>0</v>
      </c>
      <c r="AD34" s="28">
        <v>5.3</v>
      </c>
    </row>
    <row r="35" spans="2:30" s="4" customFormat="1" ht="20.100000000000001" customHeight="1" x14ac:dyDescent="0.2">
      <c r="B35" s="351" t="s">
        <v>98</v>
      </c>
      <c r="C35" s="352"/>
      <c r="D35" s="352"/>
      <c r="E35" s="143"/>
      <c r="F35" s="144">
        <f>SUM(F26:F34)</f>
        <v>0</v>
      </c>
      <c r="G35" s="341" t="s">
        <v>252</v>
      </c>
      <c r="H35" s="342"/>
      <c r="I35" s="342"/>
      <c r="J35" s="342"/>
      <c r="K35" s="342"/>
      <c r="L35" s="342"/>
      <c r="M35" s="145">
        <f>SUM(M26:M34)</f>
        <v>0</v>
      </c>
      <c r="N35" s="146">
        <f>SUM(N26:N34)</f>
        <v>0</v>
      </c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</row>
    <row r="36" spans="2:30" s="4" customFormat="1" ht="4.9000000000000004" customHeight="1" x14ac:dyDescent="0.2">
      <c r="B36" s="60"/>
      <c r="C36" s="61"/>
      <c r="D36" s="61"/>
      <c r="E36" s="61"/>
      <c r="F36" s="61"/>
      <c r="G36" s="62"/>
      <c r="H36" s="63"/>
      <c r="I36" s="64"/>
      <c r="J36" s="65"/>
      <c r="K36" s="66"/>
      <c r="L36" s="66"/>
      <c r="M36" s="67"/>
      <c r="N36" s="67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</row>
    <row r="37" spans="2:30" s="30" customFormat="1" ht="27.95" customHeight="1" x14ac:dyDescent="0.2">
      <c r="B37" s="353" t="s">
        <v>8</v>
      </c>
      <c r="C37" s="368"/>
      <c r="D37" s="368"/>
      <c r="E37" s="136" t="s">
        <v>0</v>
      </c>
      <c r="F37" s="136" t="s">
        <v>212</v>
      </c>
      <c r="G37" s="364" t="s">
        <v>3</v>
      </c>
      <c r="H37" s="364"/>
      <c r="I37" s="364"/>
      <c r="J37" s="364"/>
      <c r="K37" s="364"/>
      <c r="L37" s="153" t="s">
        <v>141</v>
      </c>
      <c r="M37" s="409" t="s">
        <v>209</v>
      </c>
      <c r="N37" s="529"/>
      <c r="O37" s="31" t="s">
        <v>96</v>
      </c>
      <c r="P37" s="32" t="s">
        <v>119</v>
      </c>
      <c r="Q37" s="33"/>
      <c r="R37" s="33"/>
      <c r="S37" s="33"/>
      <c r="T37" s="33"/>
      <c r="U37" s="4" t="s">
        <v>118</v>
      </c>
      <c r="V37" s="4" t="s">
        <v>191</v>
      </c>
      <c r="W37" s="14"/>
      <c r="X37" s="33"/>
      <c r="Y37" s="33"/>
      <c r="Z37" s="33"/>
      <c r="AA37" s="33"/>
      <c r="AB37" s="33"/>
      <c r="AC37" s="33"/>
      <c r="AD37" s="33"/>
    </row>
    <row r="38" spans="2:30" s="4" customFormat="1" ht="15.95" customHeight="1" x14ac:dyDescent="0.2">
      <c r="B38" s="292" t="s">
        <v>246</v>
      </c>
      <c r="C38" s="369"/>
      <c r="D38" s="370"/>
      <c r="E38" s="270"/>
      <c r="F38" s="162">
        <f>SUM(E38*0.7)</f>
        <v>0</v>
      </c>
      <c r="G38" s="327"/>
      <c r="H38" s="327"/>
      <c r="I38" s="327"/>
      <c r="J38" s="327"/>
      <c r="K38" s="327"/>
      <c r="L38" s="196">
        <v>0.7</v>
      </c>
      <c r="M38" s="362">
        <f>SUM(O38/0.8)</f>
        <v>0</v>
      </c>
      <c r="N38" s="363"/>
      <c r="O38" s="29">
        <f>SUM(E38*P38)</f>
        <v>0</v>
      </c>
      <c r="P38" s="26">
        <v>12</v>
      </c>
      <c r="Q38" s="14"/>
      <c r="R38" s="14"/>
      <c r="S38" s="14"/>
      <c r="T38" s="14"/>
      <c r="U38" s="4" t="s">
        <v>192</v>
      </c>
      <c r="V38" s="4" t="s">
        <v>195</v>
      </c>
      <c r="W38" s="14"/>
      <c r="X38" s="14"/>
      <c r="Y38" s="14"/>
      <c r="Z38" s="14"/>
      <c r="AA38" s="14"/>
      <c r="AB38" s="14"/>
      <c r="AC38" s="14"/>
      <c r="AD38" s="14"/>
    </row>
    <row r="39" spans="2:30" s="4" customFormat="1" ht="15.95" customHeight="1" x14ac:dyDescent="0.2">
      <c r="B39" s="292" t="s">
        <v>245</v>
      </c>
      <c r="C39" s="369"/>
      <c r="D39" s="370"/>
      <c r="E39" s="270"/>
      <c r="F39" s="162">
        <f>SUM(E39*1)</f>
        <v>0</v>
      </c>
      <c r="G39" s="328"/>
      <c r="H39" s="328"/>
      <c r="I39" s="328"/>
      <c r="J39" s="328"/>
      <c r="K39" s="328"/>
      <c r="L39" s="196">
        <v>1</v>
      </c>
      <c r="M39" s="362">
        <f>SUM(O39/0.8)</f>
        <v>0</v>
      </c>
      <c r="N39" s="363"/>
      <c r="O39" s="29">
        <f>SUM(E39*P39)</f>
        <v>0</v>
      </c>
      <c r="P39" s="26">
        <v>14</v>
      </c>
      <c r="Q39" s="14"/>
      <c r="R39" s="14"/>
      <c r="S39" s="14"/>
      <c r="T39" s="14"/>
      <c r="U39" s="4" t="s">
        <v>193</v>
      </c>
      <c r="V39" s="4" t="s">
        <v>196</v>
      </c>
      <c r="W39" s="14"/>
      <c r="X39" s="14"/>
      <c r="Y39" s="14"/>
      <c r="Z39" s="14"/>
      <c r="AA39" s="14"/>
      <c r="AB39" s="14"/>
      <c r="AC39" s="14"/>
      <c r="AD39" s="14"/>
    </row>
    <row r="40" spans="2:30" s="4" customFormat="1" ht="15.95" customHeight="1" x14ac:dyDescent="0.2">
      <c r="B40" s="292" t="s">
        <v>247</v>
      </c>
      <c r="C40" s="371"/>
      <c r="D40" s="372"/>
      <c r="E40" s="270"/>
      <c r="F40" s="162">
        <f>SUM(E40*0.5)</f>
        <v>0</v>
      </c>
      <c r="G40" s="328"/>
      <c r="H40" s="328"/>
      <c r="I40" s="328"/>
      <c r="J40" s="328"/>
      <c r="K40" s="328"/>
      <c r="L40" s="196">
        <v>0.5</v>
      </c>
      <c r="M40" s="362">
        <f>SUM(O40/0.8)</f>
        <v>0</v>
      </c>
      <c r="N40" s="363"/>
      <c r="O40" s="29">
        <f>SUM(E40*P40)</f>
        <v>0</v>
      </c>
      <c r="P40" s="26">
        <v>10</v>
      </c>
      <c r="Q40" s="14"/>
      <c r="R40" s="14"/>
      <c r="S40" s="14"/>
      <c r="T40" s="14"/>
      <c r="U40" s="4" t="s">
        <v>194</v>
      </c>
      <c r="V40" s="4" t="s">
        <v>197</v>
      </c>
      <c r="W40" s="14"/>
      <c r="X40" s="14"/>
      <c r="Y40" s="14"/>
      <c r="Z40" s="14"/>
      <c r="AA40" s="14"/>
      <c r="AB40" s="14"/>
      <c r="AC40" s="14"/>
      <c r="AD40" s="14"/>
    </row>
    <row r="41" spans="2:30" s="4" customFormat="1" ht="15.95" customHeight="1" x14ac:dyDescent="0.2">
      <c r="B41" s="345" t="s">
        <v>248</v>
      </c>
      <c r="C41" s="532"/>
      <c r="D41" s="532"/>
      <c r="E41" s="270"/>
      <c r="F41" s="162">
        <f>SUM(E41*0.3)</f>
        <v>0</v>
      </c>
      <c r="G41" s="328"/>
      <c r="H41" s="328"/>
      <c r="I41" s="328"/>
      <c r="J41" s="328"/>
      <c r="K41" s="328"/>
      <c r="L41" s="196">
        <v>0.25</v>
      </c>
      <c r="M41" s="362">
        <f>SUM(O41/0.8)</f>
        <v>0</v>
      </c>
      <c r="N41" s="363"/>
      <c r="O41" s="29">
        <f>SUM(E41*P41)</f>
        <v>0</v>
      </c>
      <c r="P41" s="26">
        <v>3.5</v>
      </c>
      <c r="Q41" s="14"/>
      <c r="R41" s="14"/>
      <c r="S41" s="14"/>
      <c r="T41" s="14"/>
      <c r="U41" s="4" t="s">
        <v>199</v>
      </c>
      <c r="V41" s="4" t="s">
        <v>198</v>
      </c>
      <c r="W41" s="14"/>
      <c r="X41" s="14"/>
      <c r="Y41" s="14"/>
      <c r="Z41" s="14"/>
      <c r="AA41" s="14"/>
      <c r="AB41" s="14"/>
      <c r="AC41" s="14"/>
      <c r="AD41" s="14"/>
    </row>
    <row r="42" spans="2:30" s="4" customFormat="1" ht="15.95" customHeight="1" x14ac:dyDescent="0.2">
      <c r="B42" s="345" t="s">
        <v>249</v>
      </c>
      <c r="C42" s="334"/>
      <c r="D42" s="334"/>
      <c r="E42" s="270"/>
      <c r="F42" s="162">
        <f>SUM(E42*0.4)</f>
        <v>0</v>
      </c>
      <c r="G42" s="328"/>
      <c r="H42" s="328"/>
      <c r="I42" s="328"/>
      <c r="J42" s="328"/>
      <c r="K42" s="328"/>
      <c r="L42" s="196">
        <v>0.4</v>
      </c>
      <c r="M42" s="362">
        <f>SUM(O42/0.8)</f>
        <v>0</v>
      </c>
      <c r="N42" s="363"/>
      <c r="O42" s="29">
        <f>SUM(E42*P42)</f>
        <v>0</v>
      </c>
      <c r="P42" s="26">
        <v>5.6</v>
      </c>
      <c r="Q42" s="14"/>
      <c r="R42" s="14"/>
      <c r="S42" s="14"/>
      <c r="T42" s="14"/>
      <c r="U42" s="124" t="s">
        <v>200</v>
      </c>
      <c r="V42" s="124" t="s">
        <v>201</v>
      </c>
      <c r="W42" s="124"/>
      <c r="X42" s="14"/>
      <c r="Y42" s="14"/>
      <c r="Z42" s="14"/>
      <c r="AA42" s="14"/>
      <c r="AB42" s="14"/>
      <c r="AC42" s="14"/>
      <c r="AD42" s="14"/>
    </row>
    <row r="43" spans="2:30" s="4" customFormat="1" ht="18" customHeight="1" x14ac:dyDescent="0.2">
      <c r="B43" s="354" t="s">
        <v>250</v>
      </c>
      <c r="C43" s="352"/>
      <c r="D43" s="352"/>
      <c r="E43" s="352"/>
      <c r="F43" s="144">
        <f>SUM(F38:F42)</f>
        <v>0</v>
      </c>
      <c r="G43" s="341" t="s">
        <v>252</v>
      </c>
      <c r="H43" s="342"/>
      <c r="I43" s="342"/>
      <c r="J43" s="342"/>
      <c r="K43" s="342"/>
      <c r="L43" s="342"/>
      <c r="M43" s="530">
        <f>SUM(M38:N42)</f>
        <v>0</v>
      </c>
      <c r="N43" s="531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</row>
    <row r="44" spans="2:30" s="4" customFormat="1" ht="25.5" customHeight="1" x14ac:dyDescent="0.2">
      <c r="B44" s="413" t="s">
        <v>284</v>
      </c>
      <c r="C44" s="414"/>
      <c r="D44" s="411" t="s">
        <v>291</v>
      </c>
      <c r="E44" s="412"/>
      <c r="F44" s="412"/>
      <c r="G44" s="412"/>
      <c r="H44" s="412"/>
      <c r="I44" s="412"/>
      <c r="J44" s="412"/>
      <c r="K44" s="412"/>
      <c r="L44" s="412"/>
      <c r="M44" s="555" t="s">
        <v>285</v>
      </c>
      <c r="N44" s="556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</row>
    <row r="45" spans="2:30" ht="15" customHeight="1" x14ac:dyDescent="0.2">
      <c r="B45" s="306" t="s">
        <v>286</v>
      </c>
      <c r="C45" s="307"/>
      <c r="D45" s="307"/>
      <c r="E45" s="307"/>
      <c r="F45" s="307"/>
      <c r="G45" s="307"/>
      <c r="H45" s="307"/>
      <c r="I45" s="307"/>
      <c r="J45" s="337" t="s">
        <v>49</v>
      </c>
      <c r="K45" s="338"/>
      <c r="L45" s="374">
        <f>SUM(L1)</f>
        <v>0</v>
      </c>
      <c r="M45" s="375"/>
      <c r="N45" s="376"/>
    </row>
    <row r="46" spans="2:30" ht="15" customHeight="1" x14ac:dyDescent="0.2">
      <c r="B46" s="308"/>
      <c r="C46" s="309"/>
      <c r="D46" s="309"/>
      <c r="E46" s="309"/>
      <c r="F46" s="309"/>
      <c r="G46" s="309"/>
      <c r="H46" s="309"/>
      <c r="I46" s="309"/>
      <c r="J46" s="339"/>
      <c r="K46" s="340"/>
      <c r="L46" s="377"/>
      <c r="M46" s="377"/>
      <c r="N46" s="378"/>
    </row>
    <row r="47" spans="2:30" ht="7.5" customHeight="1" x14ac:dyDescent="0.25">
      <c r="B47" s="181"/>
      <c r="C47" s="182"/>
      <c r="D47" s="182"/>
      <c r="E47" s="182"/>
      <c r="F47" s="182"/>
      <c r="G47" s="182"/>
      <c r="H47" s="182"/>
      <c r="I47" s="182"/>
      <c r="J47" s="163"/>
      <c r="K47" s="163"/>
      <c r="L47" s="183"/>
      <c r="M47" s="183"/>
      <c r="N47" s="183"/>
    </row>
    <row r="48" spans="2:30" s="5" customFormat="1" ht="24.95" customHeight="1" x14ac:dyDescent="0.2">
      <c r="B48" s="366" t="s">
        <v>45</v>
      </c>
      <c r="C48" s="367"/>
      <c r="D48" s="367"/>
      <c r="E48" s="367"/>
      <c r="F48" s="367"/>
      <c r="G48" s="359" t="s">
        <v>54</v>
      </c>
      <c r="H48" s="360"/>
      <c r="I48" s="360"/>
      <c r="J48" s="360"/>
      <c r="K48" s="360"/>
      <c r="L48" s="360"/>
      <c r="M48" s="360"/>
      <c r="N48" s="361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</row>
    <row r="49" spans="2:31" ht="27.95" customHeight="1" x14ac:dyDescent="0.2">
      <c r="B49" s="353" t="s">
        <v>9</v>
      </c>
      <c r="C49" s="358"/>
      <c r="D49" s="358"/>
      <c r="E49" s="148" t="s">
        <v>101</v>
      </c>
      <c r="F49" s="136" t="s">
        <v>212</v>
      </c>
      <c r="G49" s="138" t="s">
        <v>100</v>
      </c>
      <c r="H49" s="138" t="s">
        <v>262</v>
      </c>
      <c r="I49" s="138" t="s">
        <v>102</v>
      </c>
      <c r="J49" s="138" t="s">
        <v>263</v>
      </c>
      <c r="K49" s="138" t="s">
        <v>103</v>
      </c>
      <c r="L49" s="137" t="s">
        <v>178</v>
      </c>
      <c r="M49" s="136" t="s">
        <v>210</v>
      </c>
      <c r="N49" s="166" t="s">
        <v>209</v>
      </c>
      <c r="O49" s="16" t="s">
        <v>95</v>
      </c>
      <c r="P49" s="26" t="s">
        <v>118</v>
      </c>
      <c r="Q49" s="12" t="s">
        <v>111</v>
      </c>
      <c r="R49" s="12" t="s">
        <v>114</v>
      </c>
      <c r="S49" s="26" t="s">
        <v>159</v>
      </c>
      <c r="T49" s="26" t="s">
        <v>160</v>
      </c>
      <c r="U49" s="12" t="s">
        <v>112</v>
      </c>
      <c r="V49" s="12" t="s">
        <v>115</v>
      </c>
      <c r="W49" s="26" t="s">
        <v>161</v>
      </c>
      <c r="X49" s="26" t="s">
        <v>162</v>
      </c>
      <c r="Y49" s="12" t="s">
        <v>113</v>
      </c>
      <c r="Z49" s="12" t="s">
        <v>116</v>
      </c>
      <c r="AA49" s="26" t="s">
        <v>163</v>
      </c>
      <c r="AB49" s="26" t="s">
        <v>164</v>
      </c>
      <c r="AC49" s="16" t="s">
        <v>96</v>
      </c>
      <c r="AD49" s="28" t="s">
        <v>119</v>
      </c>
      <c r="AE49" s="28" t="s">
        <v>179</v>
      </c>
    </row>
    <row r="50" spans="2:31" s="2" customFormat="1" ht="26.1" customHeight="1" x14ac:dyDescent="0.2">
      <c r="B50" s="333" t="s">
        <v>36</v>
      </c>
      <c r="C50" s="334"/>
      <c r="D50" s="334"/>
      <c r="E50" s="270"/>
      <c r="F50" s="139">
        <f>SUM(E50*0.45)</f>
        <v>0</v>
      </c>
      <c r="G50" s="266"/>
      <c r="H50" s="266"/>
      <c r="I50" s="266"/>
      <c r="J50" s="266"/>
      <c r="K50" s="266"/>
      <c r="L50" s="140">
        <f>SUM(G50:K50)*AE50</f>
        <v>0</v>
      </c>
      <c r="M50" s="167">
        <f t="shared" ref="M50:M55" si="6">SUM(O50+Q50+U50+Y50)</f>
        <v>0</v>
      </c>
      <c r="N50" s="155">
        <f t="shared" ref="N50:N55" si="7">SUM((R50+V50+Z50+AC50)/0.8)</f>
        <v>0</v>
      </c>
      <c r="O50" s="29">
        <f t="shared" ref="O50:O55" si="8">SUM(G50*P50)</f>
        <v>0</v>
      </c>
      <c r="P50" s="26">
        <v>7.5</v>
      </c>
      <c r="Q50" s="29">
        <f t="shared" ref="Q50:Q55" si="9">SUM(H50*S50)</f>
        <v>0</v>
      </c>
      <c r="R50" s="29">
        <f t="shared" ref="R50:R55" si="10">SUM(H50*T50)</f>
        <v>0</v>
      </c>
      <c r="S50" s="26">
        <v>5.6</v>
      </c>
      <c r="T50" s="26">
        <v>1.1000000000000001</v>
      </c>
      <c r="U50" s="29">
        <f t="shared" ref="U50:U55" si="11">SUM(I50*W50)</f>
        <v>0</v>
      </c>
      <c r="V50" s="29">
        <f t="shared" ref="V50:V55" si="12">SUM(I50*X50)</f>
        <v>0</v>
      </c>
      <c r="W50" s="26">
        <v>3.8</v>
      </c>
      <c r="X50" s="26">
        <v>2.1</v>
      </c>
      <c r="Y50" s="29">
        <f t="shared" ref="Y50:Y55" si="13">SUM(J50*AA50)</f>
        <v>0</v>
      </c>
      <c r="Z50" s="29">
        <f t="shared" ref="Z50:Z55" si="14">SUM(J50*AB50)</f>
        <v>0</v>
      </c>
      <c r="AA50" s="26">
        <v>1.9</v>
      </c>
      <c r="AB50" s="26">
        <v>3.2</v>
      </c>
      <c r="AC50" s="29">
        <f t="shared" ref="AC50:AC55" si="15">SUM(K50*AD50)</f>
        <v>0</v>
      </c>
      <c r="AD50" s="27">
        <v>4.2</v>
      </c>
      <c r="AE50" s="28">
        <v>2.65</v>
      </c>
    </row>
    <row r="51" spans="2:31" s="2" customFormat="1" ht="26.1" customHeight="1" x14ac:dyDescent="0.2">
      <c r="B51" s="333" t="s">
        <v>37</v>
      </c>
      <c r="C51" s="334"/>
      <c r="D51" s="334"/>
      <c r="E51" s="270"/>
      <c r="F51" s="139">
        <f>SUM(E51*0.17)</f>
        <v>0</v>
      </c>
      <c r="G51" s="266"/>
      <c r="H51" s="266"/>
      <c r="I51" s="266"/>
      <c r="J51" s="266"/>
      <c r="K51" s="266"/>
      <c r="L51" s="140">
        <f t="shared" ref="L51:L55" si="16">SUM(G51:K51)*AE51</f>
        <v>0</v>
      </c>
      <c r="M51" s="167">
        <f t="shared" si="6"/>
        <v>0</v>
      </c>
      <c r="N51" s="155">
        <f t="shared" si="7"/>
        <v>0</v>
      </c>
      <c r="O51" s="29">
        <f t="shared" si="8"/>
        <v>0</v>
      </c>
      <c r="P51" s="26">
        <v>1.6</v>
      </c>
      <c r="Q51" s="29">
        <f t="shared" si="9"/>
        <v>0</v>
      </c>
      <c r="R51" s="29">
        <f t="shared" si="10"/>
        <v>0</v>
      </c>
      <c r="S51" s="26">
        <v>1.2</v>
      </c>
      <c r="T51" s="26">
        <v>0.3</v>
      </c>
      <c r="U51" s="29">
        <f t="shared" si="11"/>
        <v>0</v>
      </c>
      <c r="V51" s="29">
        <f t="shared" si="12"/>
        <v>0</v>
      </c>
      <c r="W51" s="26">
        <v>0.8</v>
      </c>
      <c r="X51" s="26">
        <v>0.6</v>
      </c>
      <c r="Y51" s="29">
        <f t="shared" si="13"/>
        <v>0</v>
      </c>
      <c r="Z51" s="29">
        <f t="shared" si="14"/>
        <v>0</v>
      </c>
      <c r="AA51" s="26">
        <v>0.4</v>
      </c>
      <c r="AB51" s="26">
        <v>0.9</v>
      </c>
      <c r="AC51" s="29">
        <f t="shared" si="15"/>
        <v>0</v>
      </c>
      <c r="AD51" s="27">
        <v>1.2</v>
      </c>
      <c r="AE51" s="28">
        <v>1</v>
      </c>
    </row>
    <row r="52" spans="2:31" s="2" customFormat="1" ht="15.95" customHeight="1" x14ac:dyDescent="0.2">
      <c r="B52" s="333" t="s">
        <v>38</v>
      </c>
      <c r="C52" s="334"/>
      <c r="D52" s="334"/>
      <c r="E52" s="270"/>
      <c r="F52" s="139">
        <f>SUM(E52*0.06)</f>
        <v>0</v>
      </c>
      <c r="G52" s="266"/>
      <c r="H52" s="266"/>
      <c r="I52" s="266"/>
      <c r="J52" s="266"/>
      <c r="K52" s="266"/>
      <c r="L52" s="140">
        <f t="shared" si="16"/>
        <v>0</v>
      </c>
      <c r="M52" s="167">
        <f t="shared" si="6"/>
        <v>0</v>
      </c>
      <c r="N52" s="155">
        <f t="shared" si="7"/>
        <v>0</v>
      </c>
      <c r="O52" s="29">
        <f t="shared" si="8"/>
        <v>0</v>
      </c>
      <c r="P52" s="26">
        <v>0.6</v>
      </c>
      <c r="Q52" s="29">
        <f t="shared" si="9"/>
        <v>0</v>
      </c>
      <c r="R52" s="29">
        <f t="shared" si="10"/>
        <v>0</v>
      </c>
      <c r="S52" s="26">
        <v>0.5</v>
      </c>
      <c r="T52" s="26">
        <v>0.1</v>
      </c>
      <c r="U52" s="29">
        <f t="shared" si="11"/>
        <v>0</v>
      </c>
      <c r="V52" s="29">
        <f t="shared" si="12"/>
        <v>0</v>
      </c>
      <c r="W52" s="26">
        <v>0.3</v>
      </c>
      <c r="X52" s="26">
        <v>0.2</v>
      </c>
      <c r="Y52" s="29">
        <f t="shared" si="13"/>
        <v>0</v>
      </c>
      <c r="Z52" s="29">
        <f t="shared" si="14"/>
        <v>0</v>
      </c>
      <c r="AA52" s="26">
        <v>0.2</v>
      </c>
      <c r="AB52" s="26">
        <v>0.2</v>
      </c>
      <c r="AC52" s="29">
        <f t="shared" si="15"/>
        <v>0</v>
      </c>
      <c r="AD52" s="27">
        <v>0.3</v>
      </c>
      <c r="AE52" s="28">
        <v>0.35</v>
      </c>
    </row>
    <row r="53" spans="2:31" s="2" customFormat="1" ht="15.95" customHeight="1" x14ac:dyDescent="0.2">
      <c r="B53" s="333" t="s">
        <v>4</v>
      </c>
      <c r="C53" s="334"/>
      <c r="D53" s="334"/>
      <c r="E53" s="270"/>
      <c r="F53" s="139">
        <f>SUM(E53*0.25)</f>
        <v>0</v>
      </c>
      <c r="G53" s="266"/>
      <c r="H53" s="266"/>
      <c r="I53" s="266"/>
      <c r="J53" s="266"/>
      <c r="K53" s="266"/>
      <c r="L53" s="140">
        <f t="shared" si="16"/>
        <v>0</v>
      </c>
      <c r="M53" s="167">
        <f t="shared" si="6"/>
        <v>0</v>
      </c>
      <c r="N53" s="155">
        <f t="shared" si="7"/>
        <v>0</v>
      </c>
      <c r="O53" s="29">
        <f t="shared" si="8"/>
        <v>0</v>
      </c>
      <c r="P53" s="26">
        <v>4.2</v>
      </c>
      <c r="Q53" s="29">
        <f t="shared" si="9"/>
        <v>0</v>
      </c>
      <c r="R53" s="29">
        <f t="shared" si="10"/>
        <v>0</v>
      </c>
      <c r="S53" s="26">
        <v>3.2</v>
      </c>
      <c r="T53" s="26">
        <v>0.6</v>
      </c>
      <c r="U53" s="29">
        <f t="shared" si="11"/>
        <v>0</v>
      </c>
      <c r="V53" s="29">
        <f t="shared" si="12"/>
        <v>0</v>
      </c>
      <c r="W53" s="26">
        <v>2.1</v>
      </c>
      <c r="X53" s="26">
        <v>1.2</v>
      </c>
      <c r="Y53" s="29">
        <f t="shared" si="13"/>
        <v>0</v>
      </c>
      <c r="Z53" s="29">
        <f t="shared" si="14"/>
        <v>0</v>
      </c>
      <c r="AA53" s="26">
        <v>1.1000000000000001</v>
      </c>
      <c r="AB53" s="26">
        <v>1.8</v>
      </c>
      <c r="AC53" s="29">
        <f t="shared" si="15"/>
        <v>0</v>
      </c>
      <c r="AD53" s="27">
        <v>2.2999999999999998</v>
      </c>
      <c r="AE53" s="28">
        <v>1.47</v>
      </c>
    </row>
    <row r="54" spans="2:31" s="2" customFormat="1" ht="15.95" customHeight="1" x14ac:dyDescent="0.2">
      <c r="B54" s="333" t="s">
        <v>39</v>
      </c>
      <c r="C54" s="334"/>
      <c r="D54" s="334"/>
      <c r="E54" s="270"/>
      <c r="F54" s="139">
        <f>SUM(E54*0.26)</f>
        <v>0</v>
      </c>
      <c r="G54" s="266"/>
      <c r="H54" s="266"/>
      <c r="I54" s="266"/>
      <c r="J54" s="266"/>
      <c r="K54" s="266"/>
      <c r="L54" s="140">
        <f t="shared" si="16"/>
        <v>0</v>
      </c>
      <c r="M54" s="167">
        <f t="shared" si="6"/>
        <v>0</v>
      </c>
      <c r="N54" s="155">
        <f t="shared" si="7"/>
        <v>0</v>
      </c>
      <c r="O54" s="29">
        <f t="shared" si="8"/>
        <v>0</v>
      </c>
      <c r="P54" s="26">
        <v>5.5</v>
      </c>
      <c r="Q54" s="29">
        <f t="shared" si="9"/>
        <v>0</v>
      </c>
      <c r="R54" s="29">
        <f t="shared" si="10"/>
        <v>0</v>
      </c>
      <c r="S54" s="26">
        <v>4.0999999999999996</v>
      </c>
      <c r="T54" s="26">
        <v>0.6</v>
      </c>
      <c r="U54" s="29">
        <f t="shared" si="11"/>
        <v>0</v>
      </c>
      <c r="V54" s="29">
        <f t="shared" si="12"/>
        <v>0</v>
      </c>
      <c r="W54" s="26">
        <v>2.8</v>
      </c>
      <c r="X54" s="26">
        <v>1.2</v>
      </c>
      <c r="Y54" s="29">
        <f t="shared" si="13"/>
        <v>0</v>
      </c>
      <c r="Z54" s="29">
        <f t="shared" si="14"/>
        <v>0</v>
      </c>
      <c r="AA54" s="26">
        <v>1.4</v>
      </c>
      <c r="AB54" s="26">
        <v>1.7</v>
      </c>
      <c r="AC54" s="29">
        <f t="shared" si="15"/>
        <v>0</v>
      </c>
      <c r="AD54" s="27">
        <v>2.2999999999999998</v>
      </c>
      <c r="AE54" s="28">
        <v>1.53</v>
      </c>
    </row>
    <row r="55" spans="2:31" s="2" customFormat="1" ht="26.1" customHeight="1" x14ac:dyDescent="0.2">
      <c r="B55" s="333" t="s">
        <v>40</v>
      </c>
      <c r="C55" s="334"/>
      <c r="D55" s="334"/>
      <c r="E55" s="270"/>
      <c r="F55" s="139">
        <f>SUM(E55*0.55)</f>
        <v>0</v>
      </c>
      <c r="G55" s="266"/>
      <c r="H55" s="266"/>
      <c r="I55" s="266"/>
      <c r="J55" s="266"/>
      <c r="K55" s="266"/>
      <c r="L55" s="140">
        <f t="shared" si="16"/>
        <v>0</v>
      </c>
      <c r="M55" s="167">
        <f t="shared" si="6"/>
        <v>0</v>
      </c>
      <c r="N55" s="155">
        <f t="shared" si="7"/>
        <v>0</v>
      </c>
      <c r="O55" s="29">
        <f t="shared" si="8"/>
        <v>0</v>
      </c>
      <c r="P55" s="26">
        <v>8.1999999999999993</v>
      </c>
      <c r="Q55" s="29">
        <f t="shared" si="9"/>
        <v>0</v>
      </c>
      <c r="R55" s="29">
        <f t="shared" si="10"/>
        <v>0</v>
      </c>
      <c r="S55" s="26">
        <v>6.2</v>
      </c>
      <c r="T55" s="26">
        <v>0.9</v>
      </c>
      <c r="U55" s="29">
        <f t="shared" si="11"/>
        <v>0</v>
      </c>
      <c r="V55" s="29">
        <f t="shared" si="12"/>
        <v>0</v>
      </c>
      <c r="W55" s="26">
        <v>4.0999999999999996</v>
      </c>
      <c r="X55" s="26">
        <v>1.8</v>
      </c>
      <c r="Y55" s="29">
        <f t="shared" si="13"/>
        <v>0</v>
      </c>
      <c r="Z55" s="29">
        <f t="shared" si="14"/>
        <v>0</v>
      </c>
      <c r="AA55" s="26">
        <v>2.1</v>
      </c>
      <c r="AB55" s="26">
        <v>2.6</v>
      </c>
      <c r="AC55" s="29">
        <f t="shared" si="15"/>
        <v>0</v>
      </c>
      <c r="AD55" s="27">
        <v>3.5</v>
      </c>
      <c r="AE55" s="28">
        <v>3.24</v>
      </c>
    </row>
    <row r="56" spans="2:31" s="2" customFormat="1" ht="18" customHeight="1" x14ac:dyDescent="0.2">
      <c r="B56" s="354" t="s">
        <v>97</v>
      </c>
      <c r="C56" s="342"/>
      <c r="D56" s="342"/>
      <c r="E56" s="342"/>
      <c r="F56" s="144">
        <f>SUM(F50:F55)</f>
        <v>0</v>
      </c>
      <c r="G56" s="341" t="s">
        <v>252</v>
      </c>
      <c r="H56" s="342"/>
      <c r="I56" s="342"/>
      <c r="J56" s="342"/>
      <c r="K56" s="342"/>
      <c r="L56" s="342"/>
      <c r="M56" s="169">
        <f>SUM(M50:M55)</f>
        <v>0</v>
      </c>
      <c r="N56" s="170">
        <f>SUM(N50:N55)</f>
        <v>0</v>
      </c>
      <c r="O56" s="12"/>
      <c r="P56" s="12"/>
      <c r="Q56" s="18"/>
      <c r="R56" s="18"/>
      <c r="S56" s="18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</row>
    <row r="57" spans="2:31" s="2" customFormat="1" ht="4.9000000000000004" customHeight="1" x14ac:dyDescent="0.2">
      <c r="B57" s="69"/>
      <c r="C57" s="42"/>
      <c r="D57" s="42"/>
      <c r="E57" s="42"/>
      <c r="F57" s="42"/>
      <c r="G57" s="70"/>
      <c r="H57" s="71"/>
      <c r="I57" s="72"/>
      <c r="J57" s="73"/>
      <c r="K57" s="74"/>
      <c r="L57" s="72"/>
      <c r="M57" s="72"/>
      <c r="N57" s="72"/>
      <c r="O57" s="16"/>
      <c r="P57" s="26"/>
      <c r="Q57" s="12"/>
      <c r="R57" s="26"/>
      <c r="S57" s="26"/>
      <c r="T57" s="12"/>
      <c r="U57" s="26"/>
      <c r="V57" s="12"/>
      <c r="W57" s="26"/>
      <c r="X57" s="12"/>
      <c r="Y57" s="12"/>
      <c r="Z57" s="12"/>
      <c r="AA57" s="12"/>
      <c r="AB57" s="12"/>
      <c r="AC57" s="12"/>
      <c r="AD57" s="12"/>
    </row>
    <row r="58" spans="2:31" ht="27.95" customHeight="1" x14ac:dyDescent="0.2">
      <c r="B58" s="353" t="s">
        <v>10</v>
      </c>
      <c r="C58" s="343"/>
      <c r="D58" s="343"/>
      <c r="E58" s="149" t="s">
        <v>101</v>
      </c>
      <c r="F58" s="136" t="s">
        <v>212</v>
      </c>
      <c r="G58" s="138" t="s">
        <v>122</v>
      </c>
      <c r="H58" s="138" t="s">
        <v>123</v>
      </c>
      <c r="I58" s="138" t="s">
        <v>124</v>
      </c>
      <c r="J58" s="138" t="s">
        <v>125</v>
      </c>
      <c r="K58" s="138" t="s">
        <v>126</v>
      </c>
      <c r="L58" s="138" t="s">
        <v>289</v>
      </c>
      <c r="M58" s="136" t="s">
        <v>210</v>
      </c>
      <c r="N58" s="166" t="s">
        <v>211</v>
      </c>
      <c r="O58" s="12" t="s">
        <v>120</v>
      </c>
      <c r="P58" s="26" t="s">
        <v>121</v>
      </c>
      <c r="Q58" s="14" t="s">
        <v>172</v>
      </c>
      <c r="R58" s="26" t="s">
        <v>173</v>
      </c>
      <c r="S58" s="26"/>
      <c r="T58" s="14" t="s">
        <v>168</v>
      </c>
      <c r="U58" s="26" t="s">
        <v>169</v>
      </c>
      <c r="V58" s="14" t="s">
        <v>170</v>
      </c>
      <c r="W58" s="26" t="s">
        <v>171</v>
      </c>
      <c r="Y58" s="26" t="s">
        <v>185</v>
      </c>
      <c r="Z58" s="26" t="s">
        <v>186</v>
      </c>
      <c r="AA58" s="26" t="s">
        <v>189</v>
      </c>
    </row>
    <row r="59" spans="2:31" s="2" customFormat="1" ht="15.95" customHeight="1" x14ac:dyDescent="0.2">
      <c r="B59" s="333" t="s">
        <v>14</v>
      </c>
      <c r="C59" s="334"/>
      <c r="D59" s="334"/>
      <c r="E59" s="271"/>
      <c r="F59" s="139">
        <f>SUM(E59*0.01)</f>
        <v>0</v>
      </c>
      <c r="G59" s="266"/>
      <c r="H59" s="266"/>
      <c r="I59" s="266"/>
      <c r="J59" s="266"/>
      <c r="K59" s="197">
        <v>1</v>
      </c>
      <c r="L59" s="195">
        <f>SUM(G59:J59)/Y59</f>
        <v>0</v>
      </c>
      <c r="M59" s="167">
        <f>SUM(T59+V59)</f>
        <v>0</v>
      </c>
      <c r="N59" s="155">
        <f>SUM((O59+Q59)/0.8)</f>
        <v>0</v>
      </c>
      <c r="O59" s="29">
        <f>SUM(G59*P59)</f>
        <v>0</v>
      </c>
      <c r="P59" s="26">
        <v>2.7E-2</v>
      </c>
      <c r="Q59" s="29">
        <f>SUM(H59*R59)</f>
        <v>0</v>
      </c>
      <c r="R59" s="26">
        <v>1.4999999999999999E-2</v>
      </c>
      <c r="S59" s="26"/>
      <c r="T59" s="29">
        <f>SUM(I59*U59)</f>
        <v>0</v>
      </c>
      <c r="U59" s="26">
        <v>2.7E-2</v>
      </c>
      <c r="V59" s="29">
        <f>SUM(J59*W59)</f>
        <v>0</v>
      </c>
      <c r="W59" s="26">
        <v>1.4999999999999999E-2</v>
      </c>
      <c r="X59" s="12"/>
      <c r="Y59" s="26">
        <v>100</v>
      </c>
      <c r="Z59" s="26">
        <v>250</v>
      </c>
      <c r="AA59" s="26">
        <v>66.66</v>
      </c>
      <c r="AB59" s="12"/>
      <c r="AC59" s="12"/>
      <c r="AD59" s="12"/>
    </row>
    <row r="60" spans="2:31" s="2" customFormat="1" ht="15.95" customHeight="1" x14ac:dyDescent="0.2">
      <c r="B60" s="333" t="s">
        <v>5</v>
      </c>
      <c r="C60" s="334"/>
      <c r="D60" s="334"/>
      <c r="E60" s="271"/>
      <c r="F60" s="139">
        <f>SUM(E60*0.004)</f>
        <v>0</v>
      </c>
      <c r="G60" s="266"/>
      <c r="H60" s="266"/>
      <c r="I60" s="266"/>
      <c r="J60" s="266"/>
      <c r="K60" s="198">
        <v>0.4</v>
      </c>
      <c r="L60" s="195">
        <f>SUM(G60:J60)/Z59</f>
        <v>0</v>
      </c>
      <c r="M60" s="167">
        <f>SUM(T60+V60)</f>
        <v>0</v>
      </c>
      <c r="N60" s="155">
        <f>SUM((O60+Q60)/0.8)</f>
        <v>0</v>
      </c>
      <c r="O60" s="29">
        <f>SUM(G60*P60)</f>
        <v>0</v>
      </c>
      <c r="P60" s="26">
        <v>0.01</v>
      </c>
      <c r="Q60" s="29">
        <f>SUM(H60*R60)</f>
        <v>0</v>
      </c>
      <c r="R60" s="26">
        <v>6.0000000000000001E-3</v>
      </c>
      <c r="S60" s="26"/>
      <c r="T60" s="29">
        <f>SUM(I60*U60)</f>
        <v>0</v>
      </c>
      <c r="U60" s="26">
        <v>0.01</v>
      </c>
      <c r="V60" s="29">
        <f>SUM(J60*W60)</f>
        <v>0</v>
      </c>
      <c r="W60" s="26">
        <v>6.0000000000000001E-3</v>
      </c>
      <c r="X60" s="12"/>
      <c r="Y60" s="26"/>
      <c r="Z60" s="26"/>
      <c r="AA60" s="12"/>
      <c r="AB60" s="12"/>
      <c r="AC60" s="12"/>
      <c r="AD60" s="12"/>
    </row>
    <row r="61" spans="2:31" s="2" customFormat="1" ht="15.95" customHeight="1" x14ac:dyDescent="0.2">
      <c r="B61" s="333" t="s">
        <v>15</v>
      </c>
      <c r="C61" s="334"/>
      <c r="D61" s="334"/>
      <c r="E61" s="271"/>
      <c r="F61" s="139">
        <f>SUM(E61*0.004)</f>
        <v>0</v>
      </c>
      <c r="G61" s="150"/>
      <c r="H61" s="266"/>
      <c r="I61" s="150"/>
      <c r="J61" s="266"/>
      <c r="K61" s="198">
        <v>0.4</v>
      </c>
      <c r="L61" s="195">
        <f>SUM(G61:J61)/Z59</f>
        <v>0</v>
      </c>
      <c r="M61" s="167">
        <f>SUM(T61+V61)</f>
        <v>0</v>
      </c>
      <c r="N61" s="155">
        <f>SUM((O61+Q61)/0.8)</f>
        <v>0</v>
      </c>
      <c r="O61" s="29"/>
      <c r="P61" s="26"/>
      <c r="Q61" s="29">
        <f>SUM(H61*R61)</f>
        <v>0</v>
      </c>
      <c r="R61" s="26">
        <v>8.0000000000000002E-3</v>
      </c>
      <c r="S61" s="26"/>
      <c r="T61" s="29"/>
      <c r="U61" s="26"/>
      <c r="V61" s="29">
        <f>SUM(J61*W61)</f>
        <v>0</v>
      </c>
      <c r="W61" s="26">
        <v>8.0000000000000002E-3</v>
      </c>
      <c r="X61" s="12"/>
      <c r="Y61" s="26"/>
      <c r="Z61" s="26"/>
      <c r="AA61" s="12"/>
      <c r="AB61" s="12"/>
      <c r="AC61" s="12"/>
      <c r="AD61" s="12"/>
    </row>
    <row r="62" spans="2:31" s="2" customFormat="1" ht="15.95" customHeight="1" x14ac:dyDescent="0.2">
      <c r="B62" s="333" t="s">
        <v>41</v>
      </c>
      <c r="C62" s="334"/>
      <c r="D62" s="334"/>
      <c r="E62" s="271"/>
      <c r="F62" s="139">
        <f>SUM(E62*0.015)</f>
        <v>0</v>
      </c>
      <c r="G62" s="151"/>
      <c r="H62" s="266"/>
      <c r="I62" s="151"/>
      <c r="J62" s="266"/>
      <c r="K62" s="198">
        <v>1.5</v>
      </c>
      <c r="L62" s="195">
        <f>SUM(G62:J62)/AA59</f>
        <v>0</v>
      </c>
      <c r="M62" s="167">
        <f>SUM(T62+V62)</f>
        <v>0</v>
      </c>
      <c r="N62" s="155">
        <f>SUM((O62+Q62)/0.8)</f>
        <v>0</v>
      </c>
      <c r="O62" s="29"/>
      <c r="P62" s="26"/>
      <c r="Q62" s="29">
        <f>SUM(H62*R62)</f>
        <v>0</v>
      </c>
      <c r="R62" s="26">
        <v>0.03</v>
      </c>
      <c r="S62" s="26"/>
      <c r="T62" s="29"/>
      <c r="U62" s="26"/>
      <c r="V62" s="29">
        <f>SUM(J62*W62)</f>
        <v>0</v>
      </c>
      <c r="W62" s="26">
        <v>0.03</v>
      </c>
      <c r="X62" s="12"/>
      <c r="Y62" s="12"/>
      <c r="Z62" s="12"/>
      <c r="AA62" s="12"/>
      <c r="AB62" s="12"/>
      <c r="AC62" s="12"/>
      <c r="AD62" s="12"/>
    </row>
    <row r="63" spans="2:31" s="2" customFormat="1" ht="15.95" customHeight="1" x14ac:dyDescent="0.2">
      <c r="B63" s="346" t="s">
        <v>127</v>
      </c>
      <c r="C63" s="334"/>
      <c r="D63" s="334"/>
      <c r="E63" s="271"/>
      <c r="F63" s="139">
        <f>SUM(E63*0.2)</f>
        <v>0</v>
      </c>
      <c r="G63" s="152"/>
      <c r="H63" s="266"/>
      <c r="I63" s="152"/>
      <c r="J63" s="266"/>
      <c r="K63" s="198">
        <v>1.5</v>
      </c>
      <c r="L63" s="195">
        <f>SUM(G63:J63)/AA59</f>
        <v>0</v>
      </c>
      <c r="M63" s="167">
        <f>SUM(T63+V63)</f>
        <v>0</v>
      </c>
      <c r="N63" s="155">
        <f>SUM((O63+Q63)/0.8)</f>
        <v>0</v>
      </c>
      <c r="O63" s="29"/>
      <c r="P63" s="26"/>
      <c r="Q63" s="29">
        <f>SUM(H63*R63)</f>
        <v>0</v>
      </c>
      <c r="R63" s="26">
        <v>0.02</v>
      </c>
      <c r="S63" s="26"/>
      <c r="T63" s="29"/>
      <c r="U63" s="26"/>
      <c r="V63" s="29">
        <f>SUM(J63*W63)</f>
        <v>0</v>
      </c>
      <c r="W63" s="26">
        <v>0.02</v>
      </c>
      <c r="X63" s="12"/>
      <c r="Y63" s="12"/>
      <c r="Z63" s="12"/>
      <c r="AA63" s="12"/>
      <c r="AB63" s="12"/>
      <c r="AC63" s="12"/>
      <c r="AD63" s="12"/>
    </row>
    <row r="64" spans="2:31" s="2" customFormat="1" ht="18" customHeight="1" x14ac:dyDescent="0.2">
      <c r="B64" s="351" t="s">
        <v>99</v>
      </c>
      <c r="C64" s="352"/>
      <c r="D64" s="352"/>
      <c r="E64" s="352"/>
      <c r="F64" s="147">
        <f>SUM(F59:F63)</f>
        <v>0</v>
      </c>
      <c r="G64" s="341" t="s">
        <v>252</v>
      </c>
      <c r="H64" s="342"/>
      <c r="I64" s="342"/>
      <c r="J64" s="342"/>
      <c r="K64" s="342"/>
      <c r="L64" s="342"/>
      <c r="M64" s="171">
        <f>SUM(M59:M63)</f>
        <v>0</v>
      </c>
      <c r="N64" s="172">
        <f>SUM(N59:N63)</f>
        <v>0</v>
      </c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</row>
    <row r="65" spans="2:30" s="2" customFormat="1" ht="5.0999999999999996" customHeight="1" x14ac:dyDescent="0.2">
      <c r="B65" s="69"/>
      <c r="C65" s="42"/>
      <c r="D65" s="42"/>
      <c r="E65" s="42"/>
      <c r="F65" s="42"/>
      <c r="G65" s="75"/>
      <c r="H65" s="71"/>
      <c r="I65" s="72"/>
      <c r="J65" s="73"/>
      <c r="K65" s="76"/>
      <c r="L65" s="76"/>
      <c r="M65" s="77"/>
      <c r="N65" s="78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</row>
    <row r="66" spans="2:30" ht="27.95" customHeight="1" x14ac:dyDescent="0.2">
      <c r="B66" s="353" t="s">
        <v>144</v>
      </c>
      <c r="C66" s="343"/>
      <c r="D66" s="343"/>
      <c r="E66" s="149" t="s">
        <v>101</v>
      </c>
      <c r="F66" s="136" t="s">
        <v>212</v>
      </c>
      <c r="G66" s="138" t="s">
        <v>133</v>
      </c>
      <c r="H66" s="138" t="s">
        <v>125</v>
      </c>
      <c r="I66" s="343"/>
      <c r="J66" s="344"/>
      <c r="K66" s="344"/>
      <c r="L66" s="344"/>
      <c r="M66" s="136" t="s">
        <v>210</v>
      </c>
      <c r="N66" s="166" t="s">
        <v>209</v>
      </c>
      <c r="O66" s="12" t="s">
        <v>96</v>
      </c>
      <c r="P66" s="26" t="s">
        <v>119</v>
      </c>
      <c r="Q66" s="14" t="s">
        <v>170</v>
      </c>
      <c r="R66" s="26" t="s">
        <v>171</v>
      </c>
      <c r="S66" s="26"/>
      <c r="U66" s="4" t="s">
        <v>121</v>
      </c>
      <c r="V66" s="4" t="s">
        <v>202</v>
      </c>
    </row>
    <row r="67" spans="2:30" s="2" customFormat="1" ht="15.95" customHeight="1" x14ac:dyDescent="0.2">
      <c r="B67" s="346" t="s">
        <v>128</v>
      </c>
      <c r="C67" s="334"/>
      <c r="D67" s="334"/>
      <c r="E67" s="261"/>
      <c r="F67" s="139">
        <f>SUM(E67*0.17)</f>
        <v>0</v>
      </c>
      <c r="G67" s="266"/>
      <c r="H67" s="266"/>
      <c r="I67" s="334"/>
      <c r="J67" s="328"/>
      <c r="K67" s="328"/>
      <c r="L67" s="328"/>
      <c r="M67" s="167">
        <f t="shared" ref="M67:M72" si="17">SUM(Q67)</f>
        <v>0</v>
      </c>
      <c r="N67" s="155">
        <f t="shared" ref="N67:N72" si="18">SUM(O67)/0.8</f>
        <v>0</v>
      </c>
      <c r="O67" s="29">
        <f>SUM(G67*P67)</f>
        <v>0</v>
      </c>
      <c r="P67" s="26">
        <v>1.7</v>
      </c>
      <c r="Q67" s="29">
        <f t="shared" ref="Q67:Q72" si="19">SUM(H67*R67)</f>
        <v>0</v>
      </c>
      <c r="R67" s="26">
        <v>1.7</v>
      </c>
      <c r="S67" s="26"/>
      <c r="T67" s="12"/>
      <c r="U67" s="4" t="s">
        <v>173</v>
      </c>
      <c r="V67" s="4" t="s">
        <v>203</v>
      </c>
      <c r="X67" s="12"/>
      <c r="Y67" s="12"/>
      <c r="Z67" s="12"/>
      <c r="AA67" s="12"/>
      <c r="AB67" s="12"/>
      <c r="AC67" s="12"/>
      <c r="AD67" s="12"/>
    </row>
    <row r="68" spans="2:30" s="2" customFormat="1" ht="15.95" customHeight="1" x14ac:dyDescent="0.2">
      <c r="B68" s="346" t="s">
        <v>129</v>
      </c>
      <c r="C68" s="334"/>
      <c r="D68" s="334"/>
      <c r="E68" s="270"/>
      <c r="F68" s="139">
        <f>SUM(E68*0.2)</f>
        <v>0</v>
      </c>
      <c r="G68" s="266"/>
      <c r="H68" s="266"/>
      <c r="I68" s="328"/>
      <c r="J68" s="328"/>
      <c r="K68" s="328"/>
      <c r="L68" s="328"/>
      <c r="M68" s="167">
        <f t="shared" si="17"/>
        <v>0</v>
      </c>
      <c r="N68" s="155">
        <f t="shared" si="18"/>
        <v>0</v>
      </c>
      <c r="O68" s="29">
        <f t="shared" ref="O68:O72" si="20">SUM(G68*P68)</f>
        <v>0</v>
      </c>
      <c r="P68" s="26">
        <v>2</v>
      </c>
      <c r="Q68" s="29">
        <f t="shared" si="19"/>
        <v>0</v>
      </c>
      <c r="R68" s="26">
        <v>2</v>
      </c>
      <c r="S68" s="26"/>
      <c r="T68" s="12"/>
      <c r="U68" s="4" t="s">
        <v>169</v>
      </c>
      <c r="V68" s="4" t="s">
        <v>204</v>
      </c>
      <c r="X68" s="12"/>
      <c r="Y68" s="12"/>
      <c r="Z68" s="12"/>
      <c r="AA68" s="12"/>
      <c r="AB68" s="12"/>
      <c r="AC68" s="12"/>
      <c r="AD68" s="12"/>
    </row>
    <row r="69" spans="2:30" s="2" customFormat="1" ht="15.95" customHeight="1" x14ac:dyDescent="0.2">
      <c r="B69" s="346" t="s">
        <v>130</v>
      </c>
      <c r="C69" s="334"/>
      <c r="D69" s="334"/>
      <c r="E69" s="270"/>
      <c r="F69" s="139">
        <f>SUM(E69*0.17)</f>
        <v>0</v>
      </c>
      <c r="G69" s="266"/>
      <c r="H69" s="266"/>
      <c r="I69" s="328"/>
      <c r="J69" s="328"/>
      <c r="K69" s="328"/>
      <c r="L69" s="328"/>
      <c r="M69" s="167">
        <f t="shared" si="17"/>
        <v>0</v>
      </c>
      <c r="N69" s="155">
        <f t="shared" si="18"/>
        <v>0</v>
      </c>
      <c r="O69" s="29">
        <f t="shared" si="20"/>
        <v>0</v>
      </c>
      <c r="P69" s="26">
        <v>1.7</v>
      </c>
      <c r="Q69" s="29">
        <f t="shared" si="19"/>
        <v>0</v>
      </c>
      <c r="R69" s="26">
        <v>1.7</v>
      </c>
      <c r="S69" s="26"/>
      <c r="T69" s="12"/>
      <c r="U69" s="4" t="s">
        <v>171</v>
      </c>
      <c r="V69" s="4" t="s">
        <v>176</v>
      </c>
      <c r="X69" s="12"/>
      <c r="Y69" s="12"/>
      <c r="Z69" s="12"/>
      <c r="AA69" s="12"/>
      <c r="AB69" s="12"/>
      <c r="AC69" s="12"/>
      <c r="AD69" s="12"/>
    </row>
    <row r="70" spans="2:30" s="2" customFormat="1" ht="15.95" customHeight="1" x14ac:dyDescent="0.2">
      <c r="B70" s="346" t="s">
        <v>131</v>
      </c>
      <c r="C70" s="347"/>
      <c r="D70" s="347"/>
      <c r="E70" s="270"/>
      <c r="F70" s="139">
        <f>SUM(E70*0.25)</f>
        <v>0</v>
      </c>
      <c r="G70" s="266"/>
      <c r="H70" s="266"/>
      <c r="I70" s="328"/>
      <c r="J70" s="328"/>
      <c r="K70" s="328"/>
      <c r="L70" s="328"/>
      <c r="M70" s="167">
        <f t="shared" si="17"/>
        <v>0</v>
      </c>
      <c r="N70" s="155">
        <f t="shared" si="18"/>
        <v>0</v>
      </c>
      <c r="O70" s="29">
        <f t="shared" si="20"/>
        <v>0</v>
      </c>
      <c r="P70" s="26">
        <v>2.2999999999999998</v>
      </c>
      <c r="Q70" s="29">
        <f t="shared" si="19"/>
        <v>0</v>
      </c>
      <c r="R70" s="26">
        <v>2.2999999999999998</v>
      </c>
      <c r="S70" s="26"/>
      <c r="T70" s="12"/>
      <c r="U70" s="4" t="s">
        <v>185</v>
      </c>
      <c r="V70" s="4" t="s">
        <v>205</v>
      </c>
      <c r="X70" s="12"/>
      <c r="Y70" s="12"/>
      <c r="Z70" s="12"/>
      <c r="AA70" s="12"/>
      <c r="AB70" s="12"/>
      <c r="AC70" s="12"/>
      <c r="AD70" s="12"/>
    </row>
    <row r="71" spans="2:30" s="2" customFormat="1" ht="26.1" customHeight="1" x14ac:dyDescent="0.2">
      <c r="B71" s="346" t="s">
        <v>136</v>
      </c>
      <c r="C71" s="347"/>
      <c r="D71" s="347"/>
      <c r="E71" s="270"/>
      <c r="F71" s="139">
        <f>SUM(E71*0.034)</f>
        <v>0</v>
      </c>
      <c r="G71" s="266"/>
      <c r="H71" s="266"/>
      <c r="I71" s="328"/>
      <c r="J71" s="328"/>
      <c r="K71" s="328"/>
      <c r="L71" s="328"/>
      <c r="M71" s="167">
        <f t="shared" si="17"/>
        <v>0</v>
      </c>
      <c r="N71" s="155">
        <f t="shared" si="18"/>
        <v>0</v>
      </c>
      <c r="O71" s="29">
        <f t="shared" si="20"/>
        <v>0</v>
      </c>
      <c r="P71" s="26">
        <v>0.16</v>
      </c>
      <c r="Q71" s="29">
        <f t="shared" si="19"/>
        <v>0</v>
      </c>
      <c r="R71" s="26">
        <v>0.16</v>
      </c>
      <c r="S71" s="26"/>
      <c r="T71" s="12"/>
      <c r="U71" s="124" t="s">
        <v>186</v>
      </c>
      <c r="V71" s="124" t="s">
        <v>206</v>
      </c>
      <c r="X71" s="12"/>
      <c r="Y71" s="12"/>
      <c r="Z71" s="12"/>
      <c r="AA71" s="12"/>
      <c r="AB71" s="12"/>
      <c r="AC71" s="12"/>
      <c r="AD71" s="12"/>
    </row>
    <row r="72" spans="2:30" s="2" customFormat="1" ht="15.95" customHeight="1" x14ac:dyDescent="0.2">
      <c r="B72" s="346" t="s">
        <v>132</v>
      </c>
      <c r="C72" s="334"/>
      <c r="D72" s="334"/>
      <c r="E72" s="270"/>
      <c r="F72" s="139">
        <f>SUM(E72*0.011)</f>
        <v>0</v>
      </c>
      <c r="G72" s="266"/>
      <c r="H72" s="266"/>
      <c r="I72" s="328"/>
      <c r="J72" s="328"/>
      <c r="K72" s="328"/>
      <c r="L72" s="328"/>
      <c r="M72" s="167">
        <f t="shared" si="17"/>
        <v>0</v>
      </c>
      <c r="N72" s="155">
        <f t="shared" si="18"/>
        <v>0</v>
      </c>
      <c r="O72" s="29">
        <f t="shared" si="20"/>
        <v>0</v>
      </c>
      <c r="P72" s="26">
        <v>2.8000000000000001E-2</v>
      </c>
      <c r="Q72" s="29">
        <f t="shared" si="19"/>
        <v>0</v>
      </c>
      <c r="R72" s="26">
        <v>2.8000000000000001E-2</v>
      </c>
      <c r="S72" s="26"/>
      <c r="T72" s="12"/>
      <c r="U72" s="124" t="s">
        <v>189</v>
      </c>
      <c r="V72" s="4" t="s">
        <v>207</v>
      </c>
      <c r="X72" s="12"/>
      <c r="Y72" s="12"/>
      <c r="Z72" s="12"/>
      <c r="AA72" s="12"/>
      <c r="AB72" s="12"/>
      <c r="AC72" s="12"/>
      <c r="AD72" s="12"/>
    </row>
    <row r="73" spans="2:30" s="2" customFormat="1" ht="26.1" customHeight="1" x14ac:dyDescent="0.2">
      <c r="B73" s="354" t="s">
        <v>143</v>
      </c>
      <c r="C73" s="352"/>
      <c r="D73" s="352"/>
      <c r="E73" s="352"/>
      <c r="F73" s="147">
        <f>SUM(F67:F72)</f>
        <v>0</v>
      </c>
      <c r="G73" s="341" t="s">
        <v>252</v>
      </c>
      <c r="H73" s="352"/>
      <c r="I73" s="352"/>
      <c r="J73" s="352"/>
      <c r="K73" s="352"/>
      <c r="L73" s="352"/>
      <c r="M73" s="173">
        <f>SUM(M67:M72)</f>
        <v>0</v>
      </c>
      <c r="N73" s="174">
        <f>SUM(N67:N72)</f>
        <v>0</v>
      </c>
      <c r="O73" s="29"/>
      <c r="P73" s="26"/>
      <c r="Q73" s="29"/>
      <c r="R73" s="26"/>
      <c r="S73" s="26"/>
      <c r="T73" s="12"/>
      <c r="U73" s="12"/>
      <c r="X73" s="12"/>
      <c r="Y73" s="12"/>
      <c r="Z73" s="12"/>
      <c r="AA73" s="12"/>
      <c r="AB73" s="12"/>
      <c r="AC73" s="12"/>
      <c r="AD73" s="12"/>
    </row>
    <row r="74" spans="2:30" s="2" customFormat="1" ht="5.0999999999999996" customHeight="1" x14ac:dyDescent="0.2">
      <c r="B74" s="79"/>
      <c r="C74" s="80"/>
      <c r="D74" s="80"/>
      <c r="E74" s="61"/>
      <c r="F74" s="75"/>
      <c r="G74" s="81"/>
      <c r="H74" s="80"/>
      <c r="I74" s="80"/>
      <c r="J74" s="82"/>
      <c r="K74" s="66"/>
      <c r="L74" s="66"/>
      <c r="M74" s="83"/>
      <c r="N74" s="83"/>
      <c r="O74" s="29"/>
      <c r="P74" s="26"/>
      <c r="Q74" s="29"/>
      <c r="R74" s="26"/>
      <c r="S74" s="26"/>
      <c r="T74" s="12"/>
      <c r="U74" s="12"/>
      <c r="X74" s="12"/>
      <c r="Y74" s="12"/>
      <c r="Z74" s="12"/>
      <c r="AA74" s="12"/>
      <c r="AB74" s="12"/>
      <c r="AC74" s="12"/>
      <c r="AD74" s="12"/>
    </row>
    <row r="75" spans="2:30" ht="27.95" customHeight="1" x14ac:dyDescent="0.2">
      <c r="B75" s="353" t="s">
        <v>213</v>
      </c>
      <c r="C75" s="343"/>
      <c r="D75" s="343"/>
      <c r="E75" s="149" t="s">
        <v>101</v>
      </c>
      <c r="F75" s="136" t="s">
        <v>212</v>
      </c>
      <c r="G75" s="364" t="s">
        <v>3</v>
      </c>
      <c r="H75" s="364"/>
      <c r="I75" s="364"/>
      <c r="J75" s="364"/>
      <c r="K75" s="364"/>
      <c r="L75" s="153" t="s">
        <v>141</v>
      </c>
      <c r="M75" s="409" t="s">
        <v>208</v>
      </c>
      <c r="N75" s="410"/>
      <c r="O75" s="12" t="s">
        <v>96</v>
      </c>
      <c r="P75" s="26" t="s">
        <v>119</v>
      </c>
      <c r="Q75" s="14" t="s">
        <v>170</v>
      </c>
      <c r="R75" s="26" t="s">
        <v>171</v>
      </c>
      <c r="S75" s="26"/>
    </row>
    <row r="76" spans="2:30" s="2" customFormat="1" ht="15.95" customHeight="1" x14ac:dyDescent="0.2">
      <c r="B76" s="346" t="s">
        <v>134</v>
      </c>
      <c r="C76" s="334"/>
      <c r="D76" s="334"/>
      <c r="E76" s="270"/>
      <c r="F76" s="139">
        <f>SUM(E76*0.8)</f>
        <v>0</v>
      </c>
      <c r="G76" s="373"/>
      <c r="H76" s="328"/>
      <c r="I76" s="328"/>
      <c r="J76" s="328"/>
      <c r="K76" s="328"/>
      <c r="L76" s="162">
        <v>0.8</v>
      </c>
      <c r="M76" s="407">
        <f t="shared" ref="M76:M83" si="21">SUM(O76)/0.8</f>
        <v>0</v>
      </c>
      <c r="N76" s="408"/>
      <c r="O76" s="29">
        <f>SUM(E76*P76)</f>
        <v>0</v>
      </c>
      <c r="P76" s="26">
        <v>9.6</v>
      </c>
      <c r="Q76" s="12"/>
      <c r="R76" s="26"/>
      <c r="S76" s="26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</row>
    <row r="77" spans="2:30" s="2" customFormat="1" ht="15.95" customHeight="1" x14ac:dyDescent="0.2">
      <c r="B77" s="346" t="s">
        <v>135</v>
      </c>
      <c r="C77" s="334"/>
      <c r="D77" s="334"/>
      <c r="E77" s="270"/>
      <c r="F77" s="139">
        <f>SUM(E77*0.4)</f>
        <v>0</v>
      </c>
      <c r="G77" s="328"/>
      <c r="H77" s="328"/>
      <c r="I77" s="328"/>
      <c r="J77" s="328"/>
      <c r="K77" s="328"/>
      <c r="L77" s="162">
        <v>0.4</v>
      </c>
      <c r="M77" s="407">
        <f t="shared" si="21"/>
        <v>0</v>
      </c>
      <c r="N77" s="408"/>
      <c r="O77" s="29">
        <f t="shared" ref="O77:O83" si="22">SUM(E77*P77)</f>
        <v>0</v>
      </c>
      <c r="P77" s="26">
        <v>4.4000000000000004</v>
      </c>
      <c r="Q77" s="12"/>
      <c r="R77" s="26"/>
      <c r="S77" s="26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</row>
    <row r="78" spans="2:30" s="2" customFormat="1" ht="15.95" customHeight="1" x14ac:dyDescent="0.2">
      <c r="B78" s="333" t="s">
        <v>6</v>
      </c>
      <c r="C78" s="334"/>
      <c r="D78" s="334"/>
      <c r="E78" s="270"/>
      <c r="F78" s="139">
        <f>SUM(E78*0.2)</f>
        <v>0</v>
      </c>
      <c r="G78" s="328"/>
      <c r="H78" s="328"/>
      <c r="I78" s="328"/>
      <c r="J78" s="328"/>
      <c r="K78" s="328"/>
      <c r="L78" s="162">
        <v>0.2</v>
      </c>
      <c r="M78" s="407">
        <f t="shared" si="21"/>
        <v>0</v>
      </c>
      <c r="N78" s="408"/>
      <c r="O78" s="29">
        <f t="shared" si="22"/>
        <v>0</v>
      </c>
      <c r="P78" s="26">
        <v>1.6</v>
      </c>
      <c r="Q78" s="12"/>
      <c r="R78" s="26"/>
      <c r="S78" s="26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</row>
    <row r="79" spans="2:30" s="2" customFormat="1" ht="15.95" customHeight="1" x14ac:dyDescent="0.2">
      <c r="B79" s="345" t="s">
        <v>253</v>
      </c>
      <c r="C79" s="334"/>
      <c r="D79" s="334"/>
      <c r="E79" s="270"/>
      <c r="F79" s="139">
        <f>SUM(E79*0.1)</f>
        <v>0</v>
      </c>
      <c r="G79" s="328"/>
      <c r="H79" s="328"/>
      <c r="I79" s="328"/>
      <c r="J79" s="328"/>
      <c r="K79" s="328"/>
      <c r="L79" s="162">
        <v>0.1</v>
      </c>
      <c r="M79" s="407">
        <f t="shared" si="21"/>
        <v>0</v>
      </c>
      <c r="N79" s="408"/>
      <c r="O79" s="29">
        <f t="shared" si="22"/>
        <v>0</v>
      </c>
      <c r="P79" s="26">
        <v>1.6</v>
      </c>
      <c r="Q79" s="12"/>
      <c r="R79" s="26"/>
      <c r="S79" s="26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</row>
    <row r="80" spans="2:30" s="2" customFormat="1" ht="15.95" customHeight="1" x14ac:dyDescent="0.2">
      <c r="B80" s="345" t="s">
        <v>254</v>
      </c>
      <c r="C80" s="334"/>
      <c r="D80" s="334"/>
      <c r="E80" s="270"/>
      <c r="F80" s="139">
        <f>SUM(E80*0.17)</f>
        <v>0</v>
      </c>
      <c r="G80" s="328"/>
      <c r="H80" s="328"/>
      <c r="I80" s="328"/>
      <c r="J80" s="328"/>
      <c r="K80" s="328"/>
      <c r="L80" s="162">
        <v>0.17</v>
      </c>
      <c r="M80" s="407">
        <f t="shared" si="21"/>
        <v>0</v>
      </c>
      <c r="N80" s="408"/>
      <c r="O80" s="29">
        <f t="shared" si="22"/>
        <v>0</v>
      </c>
      <c r="P80" s="26">
        <v>1.6</v>
      </c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</row>
    <row r="81" spans="2:30" s="2" customFormat="1" ht="15.95" customHeight="1" x14ac:dyDescent="0.2">
      <c r="B81" s="345" t="s">
        <v>255</v>
      </c>
      <c r="C81" s="334"/>
      <c r="D81" s="334"/>
      <c r="E81" s="270"/>
      <c r="F81" s="139">
        <f>SUM(E81*0.11)</f>
        <v>0</v>
      </c>
      <c r="G81" s="328"/>
      <c r="H81" s="328"/>
      <c r="I81" s="328"/>
      <c r="J81" s="328"/>
      <c r="K81" s="328"/>
      <c r="L81" s="162">
        <v>0.11</v>
      </c>
      <c r="M81" s="407">
        <f t="shared" si="21"/>
        <v>0</v>
      </c>
      <c r="N81" s="408"/>
      <c r="O81" s="29">
        <f t="shared" si="22"/>
        <v>0</v>
      </c>
      <c r="P81" s="26">
        <v>1.6</v>
      </c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</row>
    <row r="82" spans="2:30" s="2" customFormat="1" ht="15.95" customHeight="1" x14ac:dyDescent="0.2">
      <c r="B82" s="345" t="s">
        <v>256</v>
      </c>
      <c r="C82" s="334"/>
      <c r="D82" s="334"/>
      <c r="E82" s="270"/>
      <c r="F82" s="139">
        <f>SUM(E82*0.11)</f>
        <v>0</v>
      </c>
      <c r="G82" s="328"/>
      <c r="H82" s="328"/>
      <c r="I82" s="328"/>
      <c r="J82" s="328"/>
      <c r="K82" s="328"/>
      <c r="L82" s="162">
        <v>0.11</v>
      </c>
      <c r="M82" s="407">
        <f t="shared" si="21"/>
        <v>0</v>
      </c>
      <c r="N82" s="408"/>
      <c r="O82" s="29">
        <f t="shared" si="22"/>
        <v>0</v>
      </c>
      <c r="P82" s="26">
        <v>1.6</v>
      </c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</row>
    <row r="83" spans="2:30" s="2" customFormat="1" ht="15.95" customHeight="1" x14ac:dyDescent="0.2">
      <c r="B83" s="345" t="s">
        <v>257</v>
      </c>
      <c r="C83" s="334"/>
      <c r="D83" s="334"/>
      <c r="E83" s="270"/>
      <c r="F83" s="139">
        <f>SUM(E83*0.07)</f>
        <v>0</v>
      </c>
      <c r="G83" s="328"/>
      <c r="H83" s="328"/>
      <c r="I83" s="328"/>
      <c r="J83" s="328"/>
      <c r="K83" s="328"/>
      <c r="L83" s="162">
        <v>7.0000000000000007E-2</v>
      </c>
      <c r="M83" s="407">
        <f t="shared" si="21"/>
        <v>0</v>
      </c>
      <c r="N83" s="408"/>
      <c r="O83" s="29">
        <f t="shared" si="22"/>
        <v>0</v>
      </c>
      <c r="P83" s="26">
        <v>1.6</v>
      </c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</row>
    <row r="84" spans="2:30" s="2" customFormat="1" ht="18" customHeight="1" x14ac:dyDescent="0.2">
      <c r="B84" s="354" t="s">
        <v>264</v>
      </c>
      <c r="C84" s="352"/>
      <c r="D84" s="352"/>
      <c r="E84" s="352"/>
      <c r="F84" s="147">
        <f>SUM(F76:F83)</f>
        <v>0</v>
      </c>
      <c r="G84" s="341" t="s">
        <v>252</v>
      </c>
      <c r="H84" s="342"/>
      <c r="I84" s="342"/>
      <c r="J84" s="342"/>
      <c r="K84" s="342"/>
      <c r="L84" s="342"/>
      <c r="M84" s="400">
        <f>SUM(M76:N83)</f>
        <v>0</v>
      </c>
      <c r="N84" s="401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</row>
    <row r="85" spans="2:30" s="2" customFormat="1" ht="5.0999999999999996" customHeight="1" x14ac:dyDescent="0.2">
      <c r="B85" s="175"/>
      <c r="C85" s="47"/>
      <c r="D85" s="47"/>
      <c r="E85" s="47"/>
      <c r="F85" s="176"/>
      <c r="G85" s="177"/>
      <c r="H85" s="178"/>
      <c r="I85" s="178"/>
      <c r="J85" s="178"/>
      <c r="K85" s="178"/>
      <c r="L85" s="178"/>
      <c r="M85" s="179"/>
      <c r="N85" s="180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</row>
    <row r="86" spans="2:30" s="2" customFormat="1" ht="5.0999999999999996" customHeight="1" x14ac:dyDescent="0.2">
      <c r="B86" s="192"/>
      <c r="C86" s="204"/>
      <c r="D86" s="204"/>
      <c r="E86" s="204"/>
      <c r="F86" s="205"/>
      <c r="G86" s="184"/>
      <c r="H86" s="47"/>
      <c r="I86" s="47"/>
      <c r="J86" s="47"/>
      <c r="K86" s="47"/>
      <c r="L86" s="47"/>
      <c r="M86" s="206"/>
      <c r="N86" s="207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</row>
    <row r="87" spans="2:30" ht="15" customHeight="1" x14ac:dyDescent="0.2">
      <c r="B87" s="306" t="s">
        <v>286</v>
      </c>
      <c r="C87" s="310"/>
      <c r="D87" s="310"/>
      <c r="E87" s="310"/>
      <c r="F87" s="310"/>
      <c r="G87" s="310"/>
      <c r="H87" s="310"/>
      <c r="I87" s="311"/>
      <c r="J87" s="337" t="s">
        <v>49</v>
      </c>
      <c r="K87" s="338"/>
      <c r="L87" s="402">
        <f>SUM(L1)</f>
        <v>0</v>
      </c>
      <c r="M87" s="403"/>
      <c r="N87" s="404"/>
    </row>
    <row r="88" spans="2:30" ht="15" customHeight="1" x14ac:dyDescent="0.2">
      <c r="B88" s="312"/>
      <c r="C88" s="313"/>
      <c r="D88" s="313"/>
      <c r="E88" s="313"/>
      <c r="F88" s="313"/>
      <c r="G88" s="313"/>
      <c r="H88" s="313"/>
      <c r="I88" s="314"/>
      <c r="J88" s="339"/>
      <c r="K88" s="340"/>
      <c r="L88" s="405"/>
      <c r="M88" s="405"/>
      <c r="N88" s="406"/>
    </row>
    <row r="89" spans="2:30" ht="5.0999999999999996" customHeight="1" x14ac:dyDescent="0.25">
      <c r="B89" s="181"/>
      <c r="C89" s="182"/>
      <c r="D89" s="182"/>
      <c r="E89" s="182"/>
      <c r="F89" s="182"/>
      <c r="G89" s="182"/>
      <c r="H89" s="182"/>
      <c r="I89" s="182"/>
      <c r="J89" s="164"/>
      <c r="K89" s="164"/>
      <c r="L89" s="183"/>
      <c r="M89" s="183"/>
      <c r="N89" s="183"/>
    </row>
    <row r="90" spans="2:30" s="8" customFormat="1" ht="25.5" customHeight="1" x14ac:dyDescent="0.2">
      <c r="B90" s="319" t="s">
        <v>74</v>
      </c>
      <c r="C90" s="390"/>
      <c r="D90" s="390"/>
      <c r="E90" s="391"/>
      <c r="F90" s="154" t="s">
        <v>177</v>
      </c>
      <c r="G90" s="136" t="s">
        <v>212</v>
      </c>
      <c r="H90" s="381" t="s">
        <v>50</v>
      </c>
      <c r="I90" s="321"/>
      <c r="J90" s="321"/>
      <c r="K90" s="321"/>
      <c r="L90" s="382"/>
      <c r="M90" s="136" t="s">
        <v>210</v>
      </c>
      <c r="N90" s="166" t="s">
        <v>209</v>
      </c>
      <c r="O90" s="29" t="s">
        <v>146</v>
      </c>
      <c r="P90" s="26" t="s">
        <v>147</v>
      </c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</row>
    <row r="91" spans="2:30" s="2" customFormat="1" ht="15.95" customHeight="1" x14ac:dyDescent="0.2">
      <c r="B91" s="346" t="s">
        <v>7</v>
      </c>
      <c r="C91" s="380"/>
      <c r="D91" s="380"/>
      <c r="E91" s="380"/>
      <c r="F91" s="284">
        <f>SUM(F35)</f>
        <v>0</v>
      </c>
      <c r="G91" s="162">
        <f>SUM(F35)</f>
        <v>0</v>
      </c>
      <c r="H91" s="383" t="s">
        <v>87</v>
      </c>
      <c r="I91" s="384"/>
      <c r="J91" s="384"/>
      <c r="K91" s="384"/>
      <c r="L91" s="385"/>
      <c r="M91" s="289">
        <f>SUM(M35)</f>
        <v>0</v>
      </c>
      <c r="N91" s="290">
        <f>SUM(N35)</f>
        <v>0</v>
      </c>
      <c r="O91" s="29">
        <f>SUM(F91*P91)</f>
        <v>0</v>
      </c>
      <c r="P91" s="26">
        <v>2.4</v>
      </c>
      <c r="Q91" s="34" t="s">
        <v>7</v>
      </c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</row>
    <row r="92" spans="2:30" s="2" customFormat="1" ht="15.95" customHeight="1" x14ac:dyDescent="0.2">
      <c r="B92" s="346" t="s">
        <v>86</v>
      </c>
      <c r="C92" s="380"/>
      <c r="D92" s="380"/>
      <c r="E92" s="380"/>
      <c r="F92" s="284">
        <f>SUM(F43)</f>
        <v>0</v>
      </c>
      <c r="G92" s="162">
        <f>SUM(F43)</f>
        <v>0</v>
      </c>
      <c r="H92" s="383" t="s">
        <v>88</v>
      </c>
      <c r="I92" s="384"/>
      <c r="J92" s="384"/>
      <c r="K92" s="384"/>
      <c r="L92" s="385"/>
      <c r="M92" s="286" t="s">
        <v>2</v>
      </c>
      <c r="N92" s="290">
        <f>SUM(M43)</f>
        <v>0</v>
      </c>
      <c r="O92" s="29">
        <f>SUM(F92*P92)</f>
        <v>0</v>
      </c>
      <c r="P92" s="26">
        <v>2.4</v>
      </c>
      <c r="Q92" s="34" t="s">
        <v>86</v>
      </c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</row>
    <row r="93" spans="2:30" s="2" customFormat="1" ht="15.95" customHeight="1" x14ac:dyDescent="0.2">
      <c r="B93" s="392" t="s">
        <v>73</v>
      </c>
      <c r="C93" s="393"/>
      <c r="D93" s="393"/>
      <c r="E93" s="394"/>
      <c r="F93" s="284">
        <f>SUM(L50:L55)</f>
        <v>0</v>
      </c>
      <c r="G93" s="162">
        <f>SUM(F56)</f>
        <v>0</v>
      </c>
      <c r="H93" s="383" t="s">
        <v>51</v>
      </c>
      <c r="I93" s="384"/>
      <c r="J93" s="384"/>
      <c r="K93" s="384"/>
      <c r="L93" s="385"/>
      <c r="M93" s="289">
        <f>SUM(M56)</f>
        <v>0</v>
      </c>
      <c r="N93" s="290">
        <f>SUM(N56)</f>
        <v>0</v>
      </c>
      <c r="O93" s="123">
        <f>SUM(L50:L55)*P93</f>
        <v>0</v>
      </c>
      <c r="P93" s="26">
        <v>0.5</v>
      </c>
      <c r="Q93" s="34" t="s">
        <v>9</v>
      </c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</row>
    <row r="94" spans="2:30" s="2" customFormat="1" ht="15.95" customHeight="1" x14ac:dyDescent="0.2">
      <c r="B94" s="292" t="s">
        <v>290</v>
      </c>
      <c r="C94" s="393"/>
      <c r="D94" s="393"/>
      <c r="E94" s="394"/>
      <c r="F94" s="284">
        <f>SUM(L59:L63)</f>
        <v>0</v>
      </c>
      <c r="G94" s="162">
        <f>SUM(F64)</f>
        <v>0</v>
      </c>
      <c r="H94" s="383" t="s">
        <v>52</v>
      </c>
      <c r="I94" s="384"/>
      <c r="J94" s="384"/>
      <c r="K94" s="384"/>
      <c r="L94" s="385"/>
      <c r="M94" s="289">
        <f>SUM(M64)</f>
        <v>0</v>
      </c>
      <c r="N94" s="290">
        <f>SUM(N64)</f>
        <v>0</v>
      </c>
      <c r="O94" s="209">
        <f>SUM(L59:L60)*P94</f>
        <v>0</v>
      </c>
      <c r="P94" s="26">
        <v>0.25</v>
      </c>
      <c r="Q94" s="124" t="s">
        <v>187</v>
      </c>
      <c r="R94" s="291">
        <f>SUM(L61:L63)*S94</f>
        <v>0</v>
      </c>
      <c r="S94" s="26">
        <v>1.25</v>
      </c>
      <c r="T94" s="4" t="s">
        <v>188</v>
      </c>
      <c r="U94" s="12"/>
      <c r="V94" s="12"/>
      <c r="W94" s="12"/>
      <c r="X94" s="12"/>
      <c r="Y94" s="12"/>
      <c r="Z94" s="12"/>
      <c r="AA94" s="12"/>
      <c r="AB94" s="12"/>
      <c r="AC94" s="12"/>
      <c r="AD94" s="12"/>
    </row>
    <row r="95" spans="2:30" s="2" customFormat="1" ht="15.95" customHeight="1" x14ac:dyDescent="0.2">
      <c r="B95" s="346" t="s">
        <v>145</v>
      </c>
      <c r="C95" s="380"/>
      <c r="D95" s="380"/>
      <c r="E95" s="380"/>
      <c r="F95" s="284">
        <f>SUM(F73)</f>
        <v>0</v>
      </c>
      <c r="G95" s="162">
        <f>SUM(F73)</f>
        <v>0</v>
      </c>
      <c r="H95" s="386" t="s">
        <v>142</v>
      </c>
      <c r="I95" s="384"/>
      <c r="J95" s="384"/>
      <c r="K95" s="384"/>
      <c r="L95" s="385"/>
      <c r="M95" s="289">
        <f>SUM(M73)</f>
        <v>0</v>
      </c>
      <c r="N95" s="290">
        <f>SUM(N73)</f>
        <v>0</v>
      </c>
      <c r="O95" s="29">
        <f>SUM(F68,F70,F71,F72)*P95</f>
        <v>0</v>
      </c>
      <c r="P95" s="26">
        <v>0.25</v>
      </c>
      <c r="Q95" s="34" t="s">
        <v>148</v>
      </c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</row>
    <row r="96" spans="2:30" s="2" customFormat="1" ht="15.95" customHeight="1" x14ac:dyDescent="0.2">
      <c r="B96" s="346" t="s">
        <v>11</v>
      </c>
      <c r="C96" s="380"/>
      <c r="D96" s="380"/>
      <c r="E96" s="380"/>
      <c r="F96" s="284">
        <f>SUM(F84)</f>
        <v>0</v>
      </c>
      <c r="G96" s="162">
        <f>SUM(F84)</f>
        <v>0</v>
      </c>
      <c r="H96" s="383" t="s">
        <v>11</v>
      </c>
      <c r="I96" s="384"/>
      <c r="J96" s="384"/>
      <c r="K96" s="384"/>
      <c r="L96" s="385"/>
      <c r="M96" s="286" t="s">
        <v>2</v>
      </c>
      <c r="N96" s="290">
        <f>SUM(M84)</f>
        <v>0</v>
      </c>
      <c r="O96" s="29">
        <f>SUM(F96*P96)</f>
        <v>0</v>
      </c>
      <c r="P96" s="26">
        <v>0</v>
      </c>
      <c r="Q96" s="4" t="s">
        <v>184</v>
      </c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</row>
    <row r="97" spans="1:30" s="2" customFormat="1" ht="15.95" customHeight="1" x14ac:dyDescent="0.2">
      <c r="B97" s="354" t="s">
        <v>265</v>
      </c>
      <c r="C97" s="526"/>
      <c r="D97" s="526"/>
      <c r="E97" s="526"/>
      <c r="F97" s="285"/>
      <c r="G97" s="156">
        <f>SUM(G91:G96)</f>
        <v>0</v>
      </c>
      <c r="H97" s="387" t="s">
        <v>251</v>
      </c>
      <c r="I97" s="388"/>
      <c r="J97" s="388"/>
      <c r="K97" s="388"/>
      <c r="L97" s="389"/>
      <c r="M97" s="287">
        <f>SUM(M91+M93+M94+M95)</f>
        <v>0</v>
      </c>
      <c r="N97" s="288">
        <f>SUM(N91:N96)</f>
        <v>0</v>
      </c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</row>
    <row r="98" spans="1:30" ht="4.9000000000000004" customHeight="1" x14ac:dyDescent="0.2">
      <c r="B98" s="84"/>
      <c r="C98" s="84"/>
      <c r="D98" s="84"/>
      <c r="E98" s="84"/>
      <c r="F98" s="85"/>
      <c r="G98" s="86"/>
      <c r="H98" s="86"/>
      <c r="I98" s="84"/>
      <c r="J98" s="84"/>
      <c r="K98" s="84"/>
      <c r="L98" s="87"/>
      <c r="M98" s="86"/>
      <c r="N98" s="87"/>
    </row>
    <row r="99" spans="1:30" s="2" customFormat="1" ht="24.95" customHeight="1" x14ac:dyDescent="0.2">
      <c r="B99" s="395" t="s">
        <v>266</v>
      </c>
      <c r="C99" s="321"/>
      <c r="D99" s="321"/>
      <c r="E99" s="321"/>
      <c r="F99" s="321"/>
      <c r="G99" s="321"/>
      <c r="H99" s="321"/>
      <c r="I99" s="321"/>
      <c r="J99" s="321"/>
      <c r="K99" s="321"/>
      <c r="L99" s="217"/>
      <c r="M99" s="218"/>
      <c r="N99" s="243" t="s">
        <v>270</v>
      </c>
      <c r="O99" s="12"/>
      <c r="P99" s="26" t="s">
        <v>147</v>
      </c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</row>
    <row r="100" spans="1:30" s="2" customFormat="1" ht="15.95" customHeight="1" x14ac:dyDescent="0.2">
      <c r="B100" s="348" t="s">
        <v>180</v>
      </c>
      <c r="C100" s="349"/>
      <c r="D100" s="349"/>
      <c r="E100" s="349"/>
      <c r="F100" s="349"/>
      <c r="G100" s="349"/>
      <c r="H100" s="349"/>
      <c r="I100" s="349"/>
      <c r="J100" s="349"/>
      <c r="K100" s="350"/>
      <c r="L100" s="219"/>
      <c r="M100" s="220"/>
      <c r="N100" s="227">
        <f>SUM(O91)</f>
        <v>0</v>
      </c>
      <c r="P100" s="27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</row>
    <row r="101" spans="1:30" s="2" customFormat="1" ht="15.95" customHeight="1" x14ac:dyDescent="0.2">
      <c r="B101" s="348" t="s">
        <v>181</v>
      </c>
      <c r="C101" s="379"/>
      <c r="D101" s="379"/>
      <c r="E101" s="379"/>
      <c r="F101" s="379"/>
      <c r="G101" s="379"/>
      <c r="H101" s="379"/>
      <c r="I101" s="379"/>
      <c r="J101" s="350"/>
      <c r="K101" s="350"/>
      <c r="L101" s="219"/>
      <c r="M101" s="220"/>
      <c r="N101" s="227">
        <f>SUM(O93)</f>
        <v>0</v>
      </c>
      <c r="O101" s="12"/>
      <c r="P101" s="26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</row>
    <row r="102" spans="1:30" s="2" customFormat="1" ht="15.95" customHeight="1" x14ac:dyDescent="0.2">
      <c r="B102" s="348" t="s">
        <v>183</v>
      </c>
      <c r="C102" s="379"/>
      <c r="D102" s="379"/>
      <c r="E102" s="379"/>
      <c r="F102" s="379"/>
      <c r="G102" s="379"/>
      <c r="H102" s="379"/>
      <c r="I102" s="379"/>
      <c r="J102" s="350"/>
      <c r="K102" s="350"/>
      <c r="L102" s="219"/>
      <c r="M102" s="220"/>
      <c r="N102" s="227">
        <f>SUM(O92+O95+O96)</f>
        <v>0</v>
      </c>
      <c r="O102" s="12"/>
      <c r="P102" s="26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</row>
    <row r="103" spans="1:30" s="2" customFormat="1" ht="15.95" customHeight="1" x14ac:dyDescent="0.2">
      <c r="B103" s="348" t="s">
        <v>182</v>
      </c>
      <c r="C103" s="349"/>
      <c r="D103" s="349"/>
      <c r="E103" s="349"/>
      <c r="F103" s="349"/>
      <c r="G103" s="349"/>
      <c r="H103" s="349"/>
      <c r="I103" s="349"/>
      <c r="J103" s="349"/>
      <c r="K103" s="350"/>
      <c r="L103" s="221"/>
      <c r="M103" s="220"/>
      <c r="N103" s="227">
        <f>SUM(O94+R94)</f>
        <v>0</v>
      </c>
      <c r="O103" s="12"/>
      <c r="P103" s="26"/>
      <c r="Q103" s="216" t="s">
        <v>241</v>
      </c>
      <c r="R103" s="19"/>
      <c r="S103" s="19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</row>
    <row r="104" spans="1:30" s="2" customFormat="1" ht="15.95" customHeight="1" x14ac:dyDescent="0.2">
      <c r="B104" s="193" t="s">
        <v>268</v>
      </c>
      <c r="C104" s="194"/>
      <c r="D104" s="194"/>
      <c r="E104" s="223" t="s">
        <v>238</v>
      </c>
      <c r="F104" s="272"/>
      <c r="G104" s="223" t="s">
        <v>239</v>
      </c>
      <c r="H104" s="272"/>
      <c r="I104" s="165"/>
      <c r="J104" s="224" t="s">
        <v>240</v>
      </c>
      <c r="K104" s="273"/>
      <c r="L104" s="132">
        <f>SUM(F104*H104)</f>
        <v>0</v>
      </c>
      <c r="M104" s="225" t="s">
        <v>242</v>
      </c>
      <c r="N104" s="222">
        <f>SUM(L104*P104)</f>
        <v>0</v>
      </c>
      <c r="O104" s="29">
        <f>SUM(L104*P104)</f>
        <v>0</v>
      </c>
      <c r="P104" s="26">
        <v>1.2</v>
      </c>
      <c r="Q104" s="12">
        <f>SUM(L104*K104)</f>
        <v>0</v>
      </c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</row>
    <row r="105" spans="1:30" s="2" customFormat="1" ht="15.95" customHeight="1" x14ac:dyDescent="0.2">
      <c r="B105" s="348" t="s">
        <v>269</v>
      </c>
      <c r="C105" s="349"/>
      <c r="D105" s="349"/>
      <c r="E105" s="349"/>
      <c r="F105" s="349"/>
      <c r="G105" s="349"/>
      <c r="H105" s="349"/>
      <c r="I105" s="349"/>
      <c r="J105" s="349"/>
      <c r="K105" s="350"/>
      <c r="L105" s="274"/>
      <c r="M105" s="225" t="s">
        <v>242</v>
      </c>
      <c r="N105" s="222">
        <f>SUM(L105*P105)</f>
        <v>0</v>
      </c>
      <c r="O105" s="29">
        <f t="shared" ref="O105:O108" si="23">SUM(L105*P105)</f>
        <v>0</v>
      </c>
      <c r="P105" s="26">
        <v>1.2</v>
      </c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</row>
    <row r="106" spans="1:30" s="2" customFormat="1" ht="15.95" customHeight="1" x14ac:dyDescent="0.2">
      <c r="B106" s="348" t="s">
        <v>267</v>
      </c>
      <c r="C106" s="349"/>
      <c r="D106" s="349"/>
      <c r="E106" s="349"/>
      <c r="F106" s="349"/>
      <c r="G106" s="349"/>
      <c r="H106" s="349"/>
      <c r="I106" s="349"/>
      <c r="J106" s="349"/>
      <c r="K106" s="350"/>
      <c r="L106" s="274"/>
      <c r="M106" s="225" t="s">
        <v>242</v>
      </c>
      <c r="N106" s="222">
        <f>SUM(L106*P106)</f>
        <v>0</v>
      </c>
      <c r="O106" s="29">
        <f t="shared" si="23"/>
        <v>0</v>
      </c>
      <c r="P106" s="26">
        <v>1.2</v>
      </c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</row>
    <row r="107" spans="1:30" s="2" customFormat="1" ht="15.95" customHeight="1" x14ac:dyDescent="0.2">
      <c r="B107" s="548" t="s">
        <v>140</v>
      </c>
      <c r="C107" s="349"/>
      <c r="D107" s="349"/>
      <c r="E107" s="349"/>
      <c r="F107" s="349"/>
      <c r="G107" s="349"/>
      <c r="H107" s="349"/>
      <c r="I107" s="349"/>
      <c r="J107" s="349"/>
      <c r="K107" s="350"/>
      <c r="L107" s="274"/>
      <c r="M107" s="225" t="s">
        <v>242</v>
      </c>
      <c r="N107" s="222">
        <f>SUM(L107*P107)</f>
        <v>0</v>
      </c>
      <c r="O107" s="29">
        <f t="shared" si="23"/>
        <v>0</v>
      </c>
      <c r="P107" s="26">
        <v>0.4</v>
      </c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</row>
    <row r="108" spans="1:30" s="2" customFormat="1" ht="15.95" customHeight="1" x14ac:dyDescent="0.2">
      <c r="B108" s="548" t="s">
        <v>149</v>
      </c>
      <c r="C108" s="349"/>
      <c r="D108" s="349"/>
      <c r="E108" s="349"/>
      <c r="F108" s="349"/>
      <c r="G108" s="349"/>
      <c r="H108" s="349"/>
      <c r="I108" s="349"/>
      <c r="J108" s="349"/>
      <c r="K108" s="350"/>
      <c r="L108" s="274"/>
      <c r="M108" s="225" t="s">
        <v>242</v>
      </c>
      <c r="N108" s="222">
        <f>SUM(L108*P108)</f>
        <v>0</v>
      </c>
      <c r="O108" s="29">
        <f t="shared" si="23"/>
        <v>0</v>
      </c>
      <c r="P108" s="26">
        <v>1.2</v>
      </c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</row>
    <row r="109" spans="1:30" s="2" customFormat="1" ht="36.75" customHeight="1" x14ac:dyDescent="0.2">
      <c r="B109" s="292" t="s">
        <v>226</v>
      </c>
      <c r="C109" s="546"/>
      <c r="D109" s="546"/>
      <c r="E109" s="546"/>
      <c r="F109" s="546"/>
      <c r="G109" s="546"/>
      <c r="H109" s="546"/>
      <c r="I109" s="546"/>
      <c r="J109" s="546"/>
      <c r="K109" s="547"/>
      <c r="L109" s="226"/>
      <c r="M109" s="220"/>
      <c r="N109" s="222">
        <f>SUM(L109)</f>
        <v>0</v>
      </c>
      <c r="O109" s="12"/>
      <c r="P109" s="26"/>
      <c r="Q109" s="19"/>
      <c r="R109" s="19"/>
      <c r="S109" s="19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</row>
    <row r="110" spans="1:30" s="2" customFormat="1" ht="26.1" customHeight="1" x14ac:dyDescent="0.2">
      <c r="B110" s="549" t="s">
        <v>78</v>
      </c>
      <c r="C110" s="550"/>
      <c r="D110" s="551"/>
      <c r="E110" s="552"/>
      <c r="F110" s="552"/>
      <c r="G110" s="552"/>
      <c r="H110" s="552"/>
      <c r="I110" s="552"/>
      <c r="J110" s="552"/>
      <c r="K110" s="552"/>
      <c r="L110" s="552"/>
      <c r="M110" s="552"/>
      <c r="N110" s="553"/>
      <c r="O110" s="12"/>
      <c r="P110" s="26"/>
      <c r="Q110" s="20"/>
      <c r="R110" s="20"/>
      <c r="S110" s="20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</row>
    <row r="111" spans="1:30" s="36" customFormat="1" ht="15.95" customHeight="1" x14ac:dyDescent="0.2">
      <c r="B111" s="519" t="s">
        <v>236</v>
      </c>
      <c r="C111" s="521"/>
      <c r="D111" s="521"/>
      <c r="E111" s="521"/>
      <c r="F111" s="521"/>
      <c r="G111" s="521"/>
      <c r="H111" s="521"/>
      <c r="I111" s="521"/>
      <c r="J111" s="521"/>
      <c r="K111" s="521"/>
      <c r="L111" s="521"/>
      <c r="M111" s="542">
        <f>SUM(N100+N101+N102+N103+N104+N105+N106+N107+N108+N109)</f>
        <v>0</v>
      </c>
      <c r="N111" s="543"/>
      <c r="O111" s="29"/>
      <c r="P111" s="35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</row>
    <row r="112" spans="1:30" s="318" customFormat="1" ht="5.0999999999999996" customHeight="1" x14ac:dyDescent="0.2">
      <c r="A112" s="317"/>
    </row>
    <row r="113" spans="2:30" s="2" customFormat="1" ht="25.5" customHeight="1" x14ac:dyDescent="0.2">
      <c r="B113" s="353" t="s">
        <v>90</v>
      </c>
      <c r="C113" s="554"/>
      <c r="D113" s="554"/>
      <c r="E113" s="554"/>
      <c r="F113" s="244" t="s">
        <v>272</v>
      </c>
      <c r="G113" s="136" t="s">
        <v>271</v>
      </c>
      <c r="H113" s="329" t="s">
        <v>67</v>
      </c>
      <c r="I113" s="330"/>
      <c r="J113" s="330"/>
      <c r="K113" s="330"/>
      <c r="L113" s="330"/>
      <c r="M113" s="544" t="s">
        <v>270</v>
      </c>
      <c r="N113" s="545"/>
      <c r="O113" s="12" t="s">
        <v>146</v>
      </c>
      <c r="P113" s="26" t="s">
        <v>147</v>
      </c>
      <c r="Q113" s="26" t="s">
        <v>151</v>
      </c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</row>
    <row r="114" spans="2:30" s="2" customFormat="1" ht="15.95" customHeight="1" x14ac:dyDescent="0.2">
      <c r="B114" s="331" t="s">
        <v>85</v>
      </c>
      <c r="C114" s="332"/>
      <c r="D114" s="332"/>
      <c r="E114" s="332"/>
      <c r="F114" s="266"/>
      <c r="G114" s="267"/>
      <c r="H114" s="327" t="s">
        <v>276</v>
      </c>
      <c r="I114" s="328"/>
      <c r="J114" s="328"/>
      <c r="K114" s="328"/>
      <c r="L114" s="328"/>
      <c r="M114" s="533">
        <f>IF(F114="Ja",O114)/12*12</f>
        <v>0</v>
      </c>
      <c r="N114" s="534"/>
      <c r="O114" s="29">
        <f>IF(G114&gt;0.9,P114)+(G114*Q114)</f>
        <v>0</v>
      </c>
      <c r="P114" s="26">
        <v>6</v>
      </c>
      <c r="Q114" s="26">
        <v>0.6</v>
      </c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</row>
    <row r="115" spans="2:30" s="2" customFormat="1" ht="15.95" customHeight="1" x14ac:dyDescent="0.2">
      <c r="B115" s="331" t="s">
        <v>70</v>
      </c>
      <c r="C115" s="332"/>
      <c r="D115" s="332"/>
      <c r="E115" s="332"/>
      <c r="F115" s="266"/>
      <c r="G115" s="267"/>
      <c r="H115" s="334" t="s">
        <v>150</v>
      </c>
      <c r="I115" s="328"/>
      <c r="J115" s="328"/>
      <c r="K115" s="328"/>
      <c r="L115" s="328"/>
      <c r="M115" s="533">
        <f t="shared" ref="M115:M119" si="24">IF(F115="Ja",O115)/12*12</f>
        <v>0</v>
      </c>
      <c r="N115" s="534"/>
      <c r="O115" s="29">
        <f>SUM(G115*P115)</f>
        <v>0</v>
      </c>
      <c r="P115" s="26">
        <v>1.7999999999999999E-2</v>
      </c>
      <c r="Q115" s="26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</row>
    <row r="116" spans="2:30" s="2" customFormat="1" ht="15.95" customHeight="1" x14ac:dyDescent="0.2">
      <c r="B116" s="331" t="s">
        <v>71</v>
      </c>
      <c r="C116" s="332"/>
      <c r="D116" s="332"/>
      <c r="E116" s="332"/>
      <c r="F116" s="266"/>
      <c r="G116" s="267"/>
      <c r="H116" s="327" t="s">
        <v>276</v>
      </c>
      <c r="I116" s="328"/>
      <c r="J116" s="328"/>
      <c r="K116" s="328"/>
      <c r="L116" s="328"/>
      <c r="M116" s="533">
        <f t="shared" si="24"/>
        <v>0</v>
      </c>
      <c r="N116" s="534"/>
      <c r="O116" s="29">
        <f>IF(G116&gt;0.9,P116)+(G116*Q116)</f>
        <v>0</v>
      </c>
      <c r="P116" s="26">
        <v>36</v>
      </c>
      <c r="Q116" s="26">
        <v>6</v>
      </c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</row>
    <row r="117" spans="2:30" s="2" customFormat="1" ht="15.95" customHeight="1" x14ac:dyDescent="0.2">
      <c r="B117" s="331" t="s">
        <v>274</v>
      </c>
      <c r="C117" s="332"/>
      <c r="D117" s="332"/>
      <c r="E117" s="332"/>
      <c r="F117" s="266"/>
      <c r="G117" s="267"/>
      <c r="H117" s="327" t="s">
        <v>276</v>
      </c>
      <c r="I117" s="328"/>
      <c r="J117" s="328"/>
      <c r="K117" s="328"/>
      <c r="L117" s="328"/>
      <c r="M117" s="533">
        <f t="shared" si="24"/>
        <v>0</v>
      </c>
      <c r="N117" s="534"/>
      <c r="O117" s="29">
        <f>IF(G117&gt;0.9,P117)+(G117*Q117)</f>
        <v>0</v>
      </c>
      <c r="P117" s="26">
        <v>48</v>
      </c>
      <c r="Q117" s="26">
        <v>6</v>
      </c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</row>
    <row r="118" spans="2:30" s="2" customFormat="1" ht="15.95" customHeight="1" x14ac:dyDescent="0.2">
      <c r="B118" s="331" t="s">
        <v>72</v>
      </c>
      <c r="C118" s="332"/>
      <c r="D118" s="332"/>
      <c r="E118" s="332"/>
      <c r="F118" s="266"/>
      <c r="G118" s="267"/>
      <c r="H118" s="327" t="s">
        <v>67</v>
      </c>
      <c r="I118" s="328"/>
      <c r="J118" s="328"/>
      <c r="K118" s="328"/>
      <c r="L118" s="328"/>
      <c r="M118" s="533">
        <f t="shared" si="24"/>
        <v>0</v>
      </c>
      <c r="N118" s="534"/>
      <c r="O118" s="29">
        <f>IF(G118&gt;0.9,P118)*(G118)</f>
        <v>0</v>
      </c>
      <c r="P118" s="26">
        <v>300</v>
      </c>
      <c r="Q118" s="26">
        <v>150</v>
      </c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</row>
    <row r="119" spans="2:30" s="2" customFormat="1" ht="15.95" customHeight="1" x14ac:dyDescent="0.2">
      <c r="B119" s="331" t="s">
        <v>275</v>
      </c>
      <c r="C119" s="332"/>
      <c r="D119" s="332"/>
      <c r="E119" s="332"/>
      <c r="F119" s="266"/>
      <c r="G119" s="267"/>
      <c r="H119" s="535" t="s">
        <v>273</v>
      </c>
      <c r="I119" s="536"/>
      <c r="J119" s="536"/>
      <c r="K119" s="536"/>
      <c r="L119" s="536"/>
      <c r="M119" s="533">
        <f t="shared" si="24"/>
        <v>0</v>
      </c>
      <c r="N119" s="534"/>
      <c r="O119" s="29">
        <f>IF(G119&gt;0.9,P119)+(G119*Q119)</f>
        <v>0</v>
      </c>
      <c r="P119" s="26">
        <v>48</v>
      </c>
      <c r="Q119" s="26">
        <v>12</v>
      </c>
      <c r="R119" s="245" t="s">
        <v>277</v>
      </c>
      <c r="S119" s="21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</row>
    <row r="120" spans="2:30" s="36" customFormat="1" ht="15.95" customHeight="1" x14ac:dyDescent="0.2">
      <c r="B120" s="519" t="s">
        <v>237</v>
      </c>
      <c r="C120" s="521"/>
      <c r="D120" s="521"/>
      <c r="E120" s="521"/>
      <c r="F120" s="521"/>
      <c r="G120" s="521"/>
      <c r="H120" s="521"/>
      <c r="I120" s="521"/>
      <c r="J120" s="521"/>
      <c r="K120" s="521"/>
      <c r="L120" s="521"/>
      <c r="M120" s="542">
        <f>SUM(M114:N119)</f>
        <v>0</v>
      </c>
      <c r="N120" s="543"/>
      <c r="O120" s="29"/>
      <c r="P120" s="35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</row>
    <row r="121" spans="2:30" s="36" customFormat="1" ht="5.0999999999999996" customHeight="1" x14ac:dyDescent="0.2">
      <c r="B121" s="184"/>
      <c r="C121" s="185"/>
      <c r="D121" s="185"/>
      <c r="E121" s="185"/>
      <c r="F121" s="185"/>
      <c r="G121" s="185"/>
      <c r="H121" s="185"/>
      <c r="I121" s="185"/>
      <c r="J121" s="185"/>
      <c r="K121" s="185"/>
      <c r="L121" s="185"/>
      <c r="M121" s="186"/>
      <c r="N121" s="187"/>
      <c r="O121" s="29"/>
      <c r="P121" s="35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</row>
    <row r="122" spans="2:30" s="2" customFormat="1" ht="25.5" customHeight="1" x14ac:dyDescent="0.2">
      <c r="B122" s="319" t="s">
        <v>225</v>
      </c>
      <c r="C122" s="320"/>
      <c r="D122" s="320"/>
      <c r="E122" s="320"/>
      <c r="F122" s="321"/>
      <c r="G122" s="321"/>
      <c r="H122" s="321"/>
      <c r="I122" s="321"/>
      <c r="J122" s="321"/>
      <c r="K122" s="321"/>
      <c r="L122" s="321"/>
      <c r="M122" s="321"/>
      <c r="N122" s="322"/>
      <c r="O122" s="12"/>
      <c r="P122" s="26"/>
      <c r="Q122" s="26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</row>
    <row r="123" spans="2:30" s="36" customFormat="1" ht="15.95" customHeight="1" x14ac:dyDescent="0.2">
      <c r="B123" s="323" t="s">
        <v>217</v>
      </c>
      <c r="C123" s="324"/>
      <c r="D123" s="324" t="s">
        <v>218</v>
      </c>
      <c r="E123" s="324"/>
      <c r="F123" s="239" t="s">
        <v>228</v>
      </c>
      <c r="G123" s="191" t="s">
        <v>214</v>
      </c>
      <c r="H123" s="191" t="s">
        <v>215</v>
      </c>
      <c r="I123" s="246" t="s">
        <v>216</v>
      </c>
      <c r="J123" s="325" t="s">
        <v>222</v>
      </c>
      <c r="K123" s="326"/>
      <c r="L123" s="522" t="s">
        <v>220</v>
      </c>
      <c r="M123" s="522"/>
      <c r="N123" s="523"/>
      <c r="O123" s="29"/>
      <c r="P123" s="188" t="s">
        <v>219</v>
      </c>
      <c r="Q123" s="29"/>
      <c r="R123" s="29" t="s">
        <v>216</v>
      </c>
      <c r="S123" s="29" t="s">
        <v>221</v>
      </c>
      <c r="T123" s="29"/>
      <c r="U123" s="29" t="s">
        <v>223</v>
      </c>
      <c r="V123" s="29"/>
      <c r="W123" s="189" t="s">
        <v>224</v>
      </c>
      <c r="X123" s="29"/>
      <c r="Y123" s="29"/>
      <c r="Z123" s="29"/>
      <c r="AA123" s="29"/>
      <c r="AB123" s="29"/>
      <c r="AC123" s="29"/>
      <c r="AD123" s="29"/>
    </row>
    <row r="124" spans="2:30" s="36" customFormat="1" ht="15.95" customHeight="1" x14ac:dyDescent="0.2">
      <c r="B124" s="440"/>
      <c r="C124" s="441"/>
      <c r="D124" s="419"/>
      <c r="E124" s="420"/>
      <c r="F124" s="266"/>
      <c r="G124" s="276"/>
      <c r="H124" s="276"/>
      <c r="I124" s="276"/>
      <c r="J124" s="335"/>
      <c r="K124" s="336"/>
      <c r="L124" s="315">
        <f>SUM(U124+W124)</f>
        <v>0</v>
      </c>
      <c r="M124" s="315"/>
      <c r="N124" s="316"/>
      <c r="O124" s="29"/>
      <c r="P124" s="35">
        <f>SUM(J124)-0.1</f>
        <v>-0.1</v>
      </c>
      <c r="Q124" s="29"/>
      <c r="R124" s="29">
        <f t="shared" ref="R124:R129" si="25">SUM(I124)/2</f>
        <v>0</v>
      </c>
      <c r="S124" s="29">
        <f>SUM(R124*R124*3.14)</f>
        <v>0</v>
      </c>
      <c r="T124" s="29"/>
      <c r="U124" s="29">
        <f>SUM(G124*H124*P124)</f>
        <v>0</v>
      </c>
      <c r="V124" s="29"/>
      <c r="W124" s="29">
        <f>SUM(S124*P124)</f>
        <v>0</v>
      </c>
      <c r="X124" s="29"/>
      <c r="Y124" s="29"/>
      <c r="Z124" s="29"/>
      <c r="AA124" s="29"/>
      <c r="AB124" s="29"/>
      <c r="AC124" s="29"/>
      <c r="AD124" s="29"/>
    </row>
    <row r="125" spans="2:30" s="36" customFormat="1" ht="15.95" customHeight="1" x14ac:dyDescent="0.2">
      <c r="B125" s="440"/>
      <c r="C125" s="441"/>
      <c r="D125" s="419"/>
      <c r="E125" s="420"/>
      <c r="F125" s="266"/>
      <c r="G125" s="276"/>
      <c r="H125" s="276"/>
      <c r="I125" s="276"/>
      <c r="J125" s="335"/>
      <c r="K125" s="336"/>
      <c r="L125" s="315">
        <f t="shared" ref="L125:L129" si="26">SUM(U125+W125)</f>
        <v>0</v>
      </c>
      <c r="M125" s="315"/>
      <c r="N125" s="316"/>
      <c r="O125" s="29"/>
      <c r="P125" s="35">
        <f t="shared" ref="P125:P129" si="27">SUM(J125)-0.1</f>
        <v>-0.1</v>
      </c>
      <c r="Q125" s="29"/>
      <c r="R125" s="29">
        <f t="shared" si="25"/>
        <v>0</v>
      </c>
      <c r="S125" s="29">
        <f t="shared" ref="S125:S129" si="28">SUM(R125*R125*3.14)</f>
        <v>0</v>
      </c>
      <c r="T125" s="29"/>
      <c r="U125" s="29">
        <f>SUM(G125*H125*P125)</f>
        <v>0</v>
      </c>
      <c r="V125" s="29"/>
      <c r="W125" s="29">
        <f t="shared" ref="W125:W129" si="29">SUM(S125*P125)</f>
        <v>0</v>
      </c>
      <c r="X125" s="29"/>
      <c r="Y125" s="29"/>
      <c r="Z125" s="29"/>
      <c r="AA125" s="29"/>
      <c r="AB125" s="29"/>
      <c r="AC125" s="29"/>
      <c r="AD125" s="29"/>
    </row>
    <row r="126" spans="2:30" s="36" customFormat="1" ht="15.95" customHeight="1" x14ac:dyDescent="0.2">
      <c r="B126" s="440"/>
      <c r="C126" s="441"/>
      <c r="D126" s="419"/>
      <c r="E126" s="420"/>
      <c r="F126" s="266"/>
      <c r="G126" s="276"/>
      <c r="H126" s="276"/>
      <c r="I126" s="276"/>
      <c r="J126" s="335"/>
      <c r="K126" s="336"/>
      <c r="L126" s="315">
        <f>SUM(U126+W126)</f>
        <v>0</v>
      </c>
      <c r="M126" s="315"/>
      <c r="N126" s="316"/>
      <c r="O126" s="29"/>
      <c r="P126" s="35">
        <f t="shared" si="27"/>
        <v>-0.1</v>
      </c>
      <c r="Q126" s="29"/>
      <c r="R126" s="29">
        <f t="shared" si="25"/>
        <v>0</v>
      </c>
      <c r="S126" s="29">
        <f t="shared" si="28"/>
        <v>0</v>
      </c>
      <c r="T126" s="29"/>
      <c r="U126" s="29">
        <f t="shared" ref="U126:U129" si="30">SUM(G126*H126*P126)</f>
        <v>0</v>
      </c>
      <c r="V126" s="29"/>
      <c r="W126" s="29">
        <f t="shared" si="29"/>
        <v>0</v>
      </c>
      <c r="X126" s="29"/>
      <c r="Y126" s="29"/>
      <c r="Z126" s="29"/>
      <c r="AA126" s="29"/>
      <c r="AB126" s="29"/>
      <c r="AC126" s="29"/>
      <c r="AD126" s="29"/>
    </row>
    <row r="127" spans="2:30" s="36" customFormat="1" ht="15.95" customHeight="1" x14ac:dyDescent="0.2">
      <c r="B127" s="440"/>
      <c r="C127" s="441"/>
      <c r="D127" s="419"/>
      <c r="E127" s="420"/>
      <c r="F127" s="266"/>
      <c r="G127" s="276"/>
      <c r="H127" s="276"/>
      <c r="I127" s="276"/>
      <c r="J127" s="335"/>
      <c r="K127" s="336"/>
      <c r="L127" s="315">
        <f t="shared" si="26"/>
        <v>0</v>
      </c>
      <c r="M127" s="315"/>
      <c r="N127" s="316"/>
      <c r="O127" s="29"/>
      <c r="P127" s="35">
        <f t="shared" si="27"/>
        <v>-0.1</v>
      </c>
      <c r="Q127" s="29"/>
      <c r="R127" s="29">
        <f t="shared" si="25"/>
        <v>0</v>
      </c>
      <c r="S127" s="29">
        <f t="shared" si="28"/>
        <v>0</v>
      </c>
      <c r="T127" s="29"/>
      <c r="U127" s="29">
        <f t="shared" si="30"/>
        <v>0</v>
      </c>
      <c r="V127" s="29"/>
      <c r="W127" s="29">
        <f t="shared" si="29"/>
        <v>0</v>
      </c>
      <c r="X127" s="29"/>
      <c r="Y127" s="29"/>
      <c r="Z127" s="29"/>
      <c r="AA127" s="29"/>
      <c r="AB127" s="29"/>
      <c r="AC127" s="29"/>
      <c r="AD127" s="29"/>
    </row>
    <row r="128" spans="2:30" s="36" customFormat="1" ht="15.95" customHeight="1" x14ac:dyDescent="0.2">
      <c r="B128" s="440"/>
      <c r="C128" s="441"/>
      <c r="D128" s="419"/>
      <c r="E128" s="420"/>
      <c r="F128" s="266"/>
      <c r="G128" s="276"/>
      <c r="H128" s="276"/>
      <c r="I128" s="276"/>
      <c r="J128" s="335"/>
      <c r="K128" s="336"/>
      <c r="L128" s="315">
        <f t="shared" si="26"/>
        <v>0</v>
      </c>
      <c r="M128" s="315"/>
      <c r="N128" s="316"/>
      <c r="O128" s="29"/>
      <c r="P128" s="35">
        <f t="shared" si="27"/>
        <v>-0.1</v>
      </c>
      <c r="Q128" s="29"/>
      <c r="R128" s="29">
        <f t="shared" si="25"/>
        <v>0</v>
      </c>
      <c r="S128" s="29">
        <f t="shared" si="28"/>
        <v>0</v>
      </c>
      <c r="T128" s="29"/>
      <c r="U128" s="29">
        <f t="shared" si="30"/>
        <v>0</v>
      </c>
      <c r="V128" s="29"/>
      <c r="W128" s="29">
        <f t="shared" si="29"/>
        <v>0</v>
      </c>
      <c r="X128" s="29"/>
      <c r="Y128" s="29"/>
      <c r="Z128" s="29"/>
      <c r="AA128" s="29"/>
      <c r="AB128" s="29"/>
      <c r="AC128" s="29"/>
      <c r="AD128" s="29"/>
    </row>
    <row r="129" spans="2:30" s="36" customFormat="1" ht="15.95" customHeight="1" x14ac:dyDescent="0.2">
      <c r="B129" s="294"/>
      <c r="C129" s="295"/>
      <c r="D129" s="296"/>
      <c r="E129" s="297"/>
      <c r="F129" s="277"/>
      <c r="G129" s="278"/>
      <c r="H129" s="278"/>
      <c r="I129" s="278"/>
      <c r="J129" s="430"/>
      <c r="K129" s="431"/>
      <c r="L129" s="438">
        <f t="shared" si="26"/>
        <v>0</v>
      </c>
      <c r="M129" s="438"/>
      <c r="N129" s="439"/>
      <c r="O129" s="29"/>
      <c r="P129" s="35">
        <f t="shared" si="27"/>
        <v>-0.1</v>
      </c>
      <c r="Q129" s="29"/>
      <c r="R129" s="29">
        <f t="shared" si="25"/>
        <v>0</v>
      </c>
      <c r="S129" s="29">
        <f t="shared" si="28"/>
        <v>0</v>
      </c>
      <c r="T129" s="29"/>
      <c r="U129" s="29">
        <f t="shared" si="30"/>
        <v>0</v>
      </c>
      <c r="V129" s="29"/>
      <c r="W129" s="29">
        <f t="shared" si="29"/>
        <v>0</v>
      </c>
      <c r="X129" s="29"/>
      <c r="Y129" s="29"/>
      <c r="Z129" s="29"/>
      <c r="AA129" s="29"/>
      <c r="AB129" s="29"/>
      <c r="AC129" s="29"/>
      <c r="AD129" s="29"/>
    </row>
    <row r="130" spans="2:30" s="36" customFormat="1" ht="5.0999999999999996" customHeight="1" x14ac:dyDescent="0.2">
      <c r="B130" s="184"/>
      <c r="C130" s="199"/>
      <c r="D130" s="68"/>
      <c r="E130" s="199"/>
      <c r="F130" s="68"/>
      <c r="G130" s="68"/>
      <c r="H130" s="68"/>
      <c r="I130" s="199"/>
      <c r="J130" s="68"/>
      <c r="K130" s="199"/>
      <c r="L130" s="200"/>
      <c r="M130" s="201"/>
      <c r="N130" s="201"/>
      <c r="O130" s="202"/>
      <c r="P130" s="203"/>
      <c r="Q130" s="202"/>
      <c r="R130" s="202"/>
      <c r="S130" s="202"/>
      <c r="T130" s="202"/>
      <c r="U130" s="202"/>
      <c r="V130" s="202"/>
      <c r="W130" s="202"/>
      <c r="X130" s="202"/>
      <c r="Y130" s="202"/>
      <c r="Z130" s="202"/>
      <c r="AA130" s="202"/>
      <c r="AB130" s="202"/>
      <c r="AC130" s="202"/>
      <c r="AD130" s="202"/>
    </row>
    <row r="131" spans="2:30" s="2" customFormat="1" ht="25.5" customHeight="1" x14ac:dyDescent="0.2">
      <c r="B131" s="319" t="s">
        <v>259</v>
      </c>
      <c r="C131" s="320"/>
      <c r="D131" s="320"/>
      <c r="E131" s="320"/>
      <c r="F131" s="321"/>
      <c r="G131" s="321"/>
      <c r="H131" s="321"/>
      <c r="I131" s="321"/>
      <c r="J131" s="321"/>
      <c r="K131" s="321"/>
      <c r="L131" s="321"/>
      <c r="M131" s="321"/>
      <c r="N131" s="322"/>
      <c r="O131" s="12"/>
      <c r="Q131" s="26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</row>
    <row r="132" spans="2:30" s="2" customFormat="1" ht="15.95" customHeight="1" x14ac:dyDescent="0.2">
      <c r="B132" s="524" t="s">
        <v>217</v>
      </c>
      <c r="C132" s="525"/>
      <c r="D132" s="525" t="s">
        <v>218</v>
      </c>
      <c r="E132" s="525"/>
      <c r="F132" s="241" t="s">
        <v>228</v>
      </c>
      <c r="G132" s="240" t="s">
        <v>214</v>
      </c>
      <c r="H132" s="240" t="s">
        <v>215</v>
      </c>
      <c r="I132" s="573" t="s">
        <v>227</v>
      </c>
      <c r="J132" s="574"/>
      <c r="K132" s="575"/>
      <c r="L132" s="432" t="s">
        <v>258</v>
      </c>
      <c r="M132" s="433"/>
      <c r="N132" s="434"/>
      <c r="O132" s="12"/>
      <c r="P132" s="26" t="s">
        <v>229</v>
      </c>
      <c r="Q132" s="26"/>
      <c r="R132" s="124" t="s">
        <v>243</v>
      </c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</row>
    <row r="133" spans="2:30" s="2" customFormat="1" ht="15.95" customHeight="1" x14ac:dyDescent="0.2">
      <c r="B133" s="440"/>
      <c r="C133" s="441"/>
      <c r="D133" s="419"/>
      <c r="E133" s="420"/>
      <c r="F133" s="279"/>
      <c r="G133" s="280"/>
      <c r="H133" s="280"/>
      <c r="I133" s="424"/>
      <c r="J133" s="425"/>
      <c r="K133" s="426"/>
      <c r="L133" s="427">
        <f>SUM(G133*H133)</f>
        <v>0</v>
      </c>
      <c r="M133" s="428"/>
      <c r="N133" s="429"/>
      <c r="O133" s="12"/>
      <c r="P133" s="26">
        <f>SUM(L133*I133)</f>
        <v>0</v>
      </c>
      <c r="Q133" s="26"/>
      <c r="R133" s="12" t="str">
        <f>IF(D133="Betonplatte mit Güllegrube",G133*H133,"0")</f>
        <v>0</v>
      </c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</row>
    <row r="134" spans="2:30" s="2" customFormat="1" ht="15.95" customHeight="1" x14ac:dyDescent="0.2">
      <c r="B134" s="440"/>
      <c r="C134" s="441"/>
      <c r="D134" s="419"/>
      <c r="E134" s="420"/>
      <c r="F134" s="279"/>
      <c r="G134" s="280"/>
      <c r="H134" s="280"/>
      <c r="I134" s="424"/>
      <c r="J134" s="425"/>
      <c r="K134" s="426"/>
      <c r="L134" s="427">
        <f t="shared" ref="L134:L135" si="31">SUM(G134*H134)</f>
        <v>0</v>
      </c>
      <c r="M134" s="428"/>
      <c r="N134" s="429"/>
      <c r="O134" s="12"/>
      <c r="P134" s="26">
        <f t="shared" ref="P134:P136" si="32">SUM(L134*I134)</f>
        <v>0</v>
      </c>
      <c r="Q134" s="26"/>
      <c r="R134" s="12" t="str">
        <f t="shared" ref="R134:R136" si="33">IF(D134="Betonplatte mit Güllegrube",G134*H134,"0")</f>
        <v>0</v>
      </c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</row>
    <row r="135" spans="2:30" s="2" customFormat="1" ht="15.95" customHeight="1" x14ac:dyDescent="0.2">
      <c r="B135" s="440"/>
      <c r="C135" s="441"/>
      <c r="D135" s="419"/>
      <c r="E135" s="420"/>
      <c r="F135" s="279"/>
      <c r="G135" s="280"/>
      <c r="H135" s="280"/>
      <c r="I135" s="424"/>
      <c r="J135" s="425"/>
      <c r="K135" s="426"/>
      <c r="L135" s="427">
        <f t="shared" si="31"/>
        <v>0</v>
      </c>
      <c r="M135" s="428"/>
      <c r="N135" s="429"/>
      <c r="O135" s="12"/>
      <c r="P135" s="26">
        <f t="shared" si="32"/>
        <v>0</v>
      </c>
      <c r="Q135" s="26"/>
      <c r="R135" s="12" t="str">
        <f t="shared" si="33"/>
        <v>0</v>
      </c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</row>
    <row r="136" spans="2:30" s="2" customFormat="1" ht="15.95" customHeight="1" x14ac:dyDescent="0.2">
      <c r="B136" s="294"/>
      <c r="C136" s="295"/>
      <c r="D136" s="296"/>
      <c r="E136" s="297"/>
      <c r="F136" s="281"/>
      <c r="G136" s="282"/>
      <c r="H136" s="282"/>
      <c r="I136" s="298"/>
      <c r="J136" s="299"/>
      <c r="K136" s="300"/>
      <c r="L136" s="301">
        <f t="shared" ref="L136" si="34">SUM(G136*H136)</f>
        <v>0</v>
      </c>
      <c r="M136" s="302"/>
      <c r="N136" s="303"/>
      <c r="O136" s="12"/>
      <c r="P136" s="26">
        <f t="shared" si="32"/>
        <v>0</v>
      </c>
      <c r="Q136" s="26"/>
      <c r="R136" s="12" t="str">
        <f t="shared" si="33"/>
        <v>0</v>
      </c>
      <c r="S136" s="12">
        <f>SUM(R133:R136)*1.2</f>
        <v>0</v>
      </c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</row>
    <row r="137" spans="2:30" s="2" customFormat="1" ht="5.0999999999999996" customHeight="1" x14ac:dyDescent="0.2">
      <c r="B137" s="184"/>
      <c r="C137" s="184"/>
      <c r="D137" s="185"/>
      <c r="E137" s="185"/>
      <c r="F137" s="185"/>
      <c r="G137" s="185"/>
      <c r="H137" s="185"/>
      <c r="I137" s="185"/>
      <c r="J137" s="185"/>
      <c r="K137" s="185"/>
      <c r="L137" s="190"/>
      <c r="M137" s="190"/>
      <c r="N137" s="190"/>
      <c r="O137" s="12"/>
      <c r="P137" s="26"/>
      <c r="Q137" s="26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</row>
    <row r="138" spans="2:30" ht="15" customHeight="1" x14ac:dyDescent="0.2">
      <c r="B138" s="306" t="s">
        <v>286</v>
      </c>
      <c r="C138" s="310"/>
      <c r="D138" s="310"/>
      <c r="E138" s="310"/>
      <c r="F138" s="310"/>
      <c r="G138" s="310"/>
      <c r="H138" s="310"/>
      <c r="I138" s="310"/>
      <c r="J138" s="337" t="s">
        <v>49</v>
      </c>
      <c r="K138" s="338"/>
      <c r="L138" s="402">
        <f>SUM(L31)</f>
        <v>0</v>
      </c>
      <c r="M138" s="403"/>
      <c r="N138" s="404"/>
    </row>
    <row r="139" spans="2:30" ht="15" customHeight="1" x14ac:dyDescent="0.2">
      <c r="B139" s="312"/>
      <c r="C139" s="313"/>
      <c r="D139" s="313"/>
      <c r="E139" s="313"/>
      <c r="F139" s="313"/>
      <c r="G139" s="313"/>
      <c r="H139" s="313"/>
      <c r="I139" s="313"/>
      <c r="J139" s="339"/>
      <c r="K139" s="340"/>
      <c r="L139" s="405"/>
      <c r="M139" s="405"/>
      <c r="N139" s="406"/>
    </row>
    <row r="140" spans="2:30" ht="5.0999999999999996" customHeight="1" x14ac:dyDescent="0.25">
      <c r="B140" s="181"/>
      <c r="C140" s="182"/>
      <c r="D140" s="182"/>
      <c r="E140" s="182"/>
      <c r="F140" s="182"/>
      <c r="G140" s="182"/>
      <c r="H140" s="182"/>
      <c r="I140" s="182"/>
      <c r="J140" s="164"/>
      <c r="K140" s="164"/>
      <c r="L140" s="183"/>
      <c r="M140" s="183"/>
      <c r="N140" s="183"/>
    </row>
    <row r="141" spans="2:30" ht="24.95" customHeight="1" x14ac:dyDescent="0.2">
      <c r="B141" s="537" t="s">
        <v>79</v>
      </c>
      <c r="C141" s="538"/>
      <c r="D141" s="539"/>
      <c r="E141" s="539"/>
      <c r="F141" s="540"/>
      <c r="G141" s="540"/>
      <c r="H141" s="367"/>
      <c r="I141" s="367"/>
      <c r="J141" s="367"/>
      <c r="K141" s="367"/>
      <c r="L141" s="367"/>
      <c r="M141" s="367"/>
      <c r="N141" s="541"/>
      <c r="Q141" s="22"/>
      <c r="R141" s="22"/>
      <c r="S141" s="22"/>
    </row>
    <row r="142" spans="2:30" s="10" customFormat="1" ht="15.95" customHeight="1" x14ac:dyDescent="0.2">
      <c r="B142" s="292" t="s">
        <v>232</v>
      </c>
      <c r="C142" s="293"/>
      <c r="D142" s="293"/>
      <c r="E142" s="293"/>
      <c r="F142" s="235"/>
      <c r="G142" s="236">
        <f>SUM(M13:M15)</f>
        <v>0</v>
      </c>
      <c r="H142" s="212" t="s">
        <v>18</v>
      </c>
      <c r="I142" s="559"/>
      <c r="J142" s="328"/>
      <c r="K142" s="328"/>
      <c r="L142" s="328"/>
      <c r="M142" s="328"/>
      <c r="N142" s="560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</row>
    <row r="143" spans="2:30" s="10" customFormat="1" ht="15.95" customHeight="1" x14ac:dyDescent="0.2">
      <c r="B143" s="568" t="s">
        <v>233</v>
      </c>
      <c r="C143" s="569"/>
      <c r="D143" s="569"/>
      <c r="E143" s="569"/>
      <c r="F143" s="569"/>
      <c r="G143" s="236">
        <f>SUM(M18:M22)</f>
        <v>0</v>
      </c>
      <c r="H143" s="212" t="s">
        <v>18</v>
      </c>
      <c r="I143" s="328"/>
      <c r="J143" s="328"/>
      <c r="K143" s="328"/>
      <c r="L143" s="328"/>
      <c r="M143" s="328"/>
      <c r="N143" s="560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</row>
    <row r="144" spans="2:30" s="10" customFormat="1" ht="15.95" customHeight="1" x14ac:dyDescent="0.2">
      <c r="B144" s="292" t="s">
        <v>234</v>
      </c>
      <c r="C144" s="293"/>
      <c r="D144" s="293"/>
      <c r="E144" s="293"/>
      <c r="F144" s="293"/>
      <c r="G144" s="236">
        <f>SUM(M111)+S136</f>
        <v>0</v>
      </c>
      <c r="H144" s="212" t="s">
        <v>18</v>
      </c>
      <c r="I144" s="328"/>
      <c r="J144" s="328"/>
      <c r="K144" s="328"/>
      <c r="L144" s="328"/>
      <c r="M144" s="328"/>
      <c r="N144" s="560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</row>
    <row r="145" spans="2:30" s="10" customFormat="1" ht="15.95" customHeight="1" x14ac:dyDescent="0.2">
      <c r="B145" s="348" t="s">
        <v>235</v>
      </c>
      <c r="C145" s="379"/>
      <c r="D145" s="379"/>
      <c r="E145" s="379"/>
      <c r="F145" s="379"/>
      <c r="G145" s="213">
        <f>SUM(M120)</f>
        <v>0</v>
      </c>
      <c r="H145" s="212" t="s">
        <v>18</v>
      </c>
      <c r="I145" s="328"/>
      <c r="J145" s="328"/>
      <c r="K145" s="328"/>
      <c r="L145" s="328"/>
      <c r="M145" s="328"/>
      <c r="N145" s="560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</row>
    <row r="146" spans="2:30" s="2" customFormat="1" ht="15.95" customHeight="1" x14ac:dyDescent="0.2">
      <c r="B146" s="548" t="s">
        <v>63</v>
      </c>
      <c r="C146" s="349"/>
      <c r="D146" s="349"/>
      <c r="E146" s="349"/>
      <c r="F146" s="567"/>
      <c r="G146" s="214">
        <f>SUM(M97)</f>
        <v>0</v>
      </c>
      <c r="H146" s="157" t="s">
        <v>18</v>
      </c>
      <c r="I146" s="570" t="s">
        <v>279</v>
      </c>
      <c r="J146" s="384"/>
      <c r="K146" s="384"/>
      <c r="L146" s="384"/>
      <c r="M146" s="237">
        <v>4.1666666666666664E-2</v>
      </c>
      <c r="N146" s="238" t="e">
        <f>SUM(Q24+G142+G144+G145)/G146</f>
        <v>#DIV/0!</v>
      </c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</row>
    <row r="147" spans="2:30" s="2" customFormat="1" ht="15.95" customHeight="1" x14ac:dyDescent="0.2">
      <c r="B147" s="564" t="s">
        <v>12</v>
      </c>
      <c r="C147" s="565"/>
      <c r="D147" s="565"/>
      <c r="E147" s="565"/>
      <c r="F147" s="566"/>
      <c r="G147" s="215">
        <f>SUM(G142:G146)</f>
        <v>0</v>
      </c>
      <c r="H147" s="159" t="s">
        <v>19</v>
      </c>
      <c r="I147" s="571"/>
      <c r="J147" s="572"/>
      <c r="K147" s="572"/>
      <c r="L147" s="572"/>
      <c r="M147" s="160"/>
      <c r="N147" s="161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</row>
    <row r="148" spans="2:30" ht="5.0999999999999996" customHeight="1" x14ac:dyDescent="0.2">
      <c r="B148" s="88"/>
      <c r="C148" s="88"/>
      <c r="D148" s="88"/>
      <c r="E148" s="88"/>
      <c r="F148" s="89"/>
      <c r="G148" s="90"/>
      <c r="H148" s="90"/>
      <c r="I148" s="91"/>
      <c r="J148" s="91"/>
      <c r="K148" s="91"/>
      <c r="L148" s="92"/>
      <c r="M148" s="93"/>
      <c r="N148" s="91"/>
    </row>
    <row r="149" spans="2:30" ht="27.95" customHeight="1" x14ac:dyDescent="0.2">
      <c r="B149" s="510" t="s">
        <v>91</v>
      </c>
      <c r="C149" s="511"/>
      <c r="D149" s="511"/>
      <c r="E149" s="511"/>
      <c r="F149" s="512"/>
      <c r="G149" s="283"/>
      <c r="H149" s="561" t="s">
        <v>13</v>
      </c>
      <c r="I149" s="338"/>
      <c r="J149" s="562"/>
      <c r="K149" s="562"/>
      <c r="L149" s="562"/>
      <c r="M149" s="562"/>
      <c r="N149" s="563"/>
    </row>
    <row r="150" spans="2:30" s="2" customFormat="1" ht="18" customHeight="1" x14ac:dyDescent="0.2">
      <c r="B150" s="515" t="s">
        <v>64</v>
      </c>
      <c r="C150" s="516"/>
      <c r="D150" s="516"/>
      <c r="E150" s="516"/>
      <c r="F150" s="255"/>
      <c r="G150" s="256">
        <f>SUM(G147/12*G149)</f>
        <v>0</v>
      </c>
      <c r="H150" s="254" t="s">
        <v>19</v>
      </c>
      <c r="I150" s="253"/>
      <c r="J150" s="253"/>
      <c r="K150" s="253"/>
      <c r="L150" s="252" t="s">
        <v>278</v>
      </c>
      <c r="M150" s="249">
        <f>SUM(L124:N129)</f>
        <v>0</v>
      </c>
      <c r="N150" s="251" t="s">
        <v>19</v>
      </c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</row>
    <row r="151" spans="2:30" s="6" customFormat="1" ht="18" customHeight="1" x14ac:dyDescent="0.2">
      <c r="B151" s="304" t="s">
        <v>65</v>
      </c>
      <c r="C151" s="305"/>
      <c r="D151" s="305"/>
      <c r="E151" s="305"/>
      <c r="F151" s="305"/>
      <c r="G151" s="305"/>
      <c r="H151" s="305"/>
      <c r="I151" s="305"/>
      <c r="J151" s="305"/>
      <c r="K151" s="305"/>
      <c r="L151" s="305"/>
      <c r="M151" s="250" t="str">
        <f>IF(SUM(G150-M150)&lt;=0,"0",SUM(G150-M150))</f>
        <v>0</v>
      </c>
      <c r="N151" s="248" t="s">
        <v>19</v>
      </c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</row>
    <row r="152" spans="2:30" ht="5.0999999999999996" customHeight="1" x14ac:dyDescent="0.2">
      <c r="B152" s="94"/>
      <c r="C152" s="94"/>
      <c r="D152" s="94"/>
      <c r="E152" s="94"/>
      <c r="F152" s="517"/>
      <c r="G152" s="518"/>
      <c r="H152" s="95"/>
      <c r="I152" s="96"/>
      <c r="J152" s="96"/>
      <c r="K152" s="96"/>
      <c r="L152" s="97"/>
      <c r="M152" s="98"/>
      <c r="N152" s="96"/>
    </row>
    <row r="153" spans="2:30" s="6" customFormat="1" ht="18" customHeight="1" x14ac:dyDescent="0.2">
      <c r="B153" s="395" t="s">
        <v>283</v>
      </c>
      <c r="C153" s="435"/>
      <c r="D153" s="436"/>
      <c r="E153" s="436"/>
      <c r="F153" s="437"/>
      <c r="G153" s="321"/>
      <c r="H153" s="321"/>
      <c r="I153" s="321"/>
      <c r="J153" s="321"/>
      <c r="K153" s="321"/>
      <c r="L153" s="321"/>
      <c r="M153" s="321"/>
      <c r="N153" s="322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</row>
    <row r="154" spans="2:30" ht="18" customHeight="1" x14ac:dyDescent="0.2">
      <c r="B154" s="210" t="s">
        <v>231</v>
      </c>
      <c r="C154" s="211"/>
      <c r="D154" s="211"/>
      <c r="E154" s="211"/>
      <c r="F154" s="229"/>
      <c r="G154" s="230">
        <f>N97/2</f>
        <v>0</v>
      </c>
      <c r="H154" s="231" t="s">
        <v>230</v>
      </c>
      <c r="I154" s="415" t="s">
        <v>280</v>
      </c>
      <c r="J154" s="416"/>
      <c r="K154" s="416"/>
      <c r="L154" s="416"/>
      <c r="M154" s="242">
        <f>SUM(P133:P136)+Q104</f>
        <v>0</v>
      </c>
      <c r="N154" s="232" t="s">
        <v>230</v>
      </c>
    </row>
    <row r="155" spans="2:30" ht="18" customHeight="1" x14ac:dyDescent="0.2">
      <c r="B155" s="557" t="s">
        <v>244</v>
      </c>
      <c r="C155" s="558"/>
      <c r="D155" s="558"/>
      <c r="E155" s="558"/>
      <c r="F155" s="558"/>
      <c r="G155" s="234">
        <f>SUM(L133+L134+L135+L136+L104)</f>
        <v>0</v>
      </c>
      <c r="H155" s="233" t="s">
        <v>24</v>
      </c>
      <c r="I155" s="415" t="s">
        <v>281</v>
      </c>
      <c r="J155" s="416"/>
      <c r="K155" s="416"/>
      <c r="L155" s="416"/>
      <c r="M155" s="230">
        <f>SUM(G154-M154)</f>
        <v>0</v>
      </c>
      <c r="N155" s="232" t="s">
        <v>230</v>
      </c>
      <c r="P155" s="228" t="e">
        <f>ROUND(SUM(M155/#REF!),0)</f>
        <v>#REF!</v>
      </c>
    </row>
    <row r="156" spans="2:30" s="6" customFormat="1" ht="18" customHeight="1" x14ac:dyDescent="0.2">
      <c r="B156" s="519" t="s">
        <v>282</v>
      </c>
      <c r="C156" s="520"/>
      <c r="D156" s="520"/>
      <c r="E156" s="520"/>
      <c r="F156" s="520"/>
      <c r="G156" s="520"/>
      <c r="H156" s="520"/>
      <c r="I156" s="520"/>
      <c r="J156" s="520"/>
      <c r="K156" s="520"/>
      <c r="L156" s="520"/>
      <c r="M156" s="158" t="str">
        <f>IF(SUM(M155/1.5)&lt;=0,"0",SUM(M155/1.5))</f>
        <v>0</v>
      </c>
      <c r="N156" s="208" t="s">
        <v>24</v>
      </c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</row>
    <row r="157" spans="2:30" s="6" customFormat="1" ht="8.1" customHeight="1" x14ac:dyDescent="0.2">
      <c r="B157" s="99"/>
      <c r="C157" s="99"/>
      <c r="D157" s="99"/>
      <c r="E157" s="99"/>
      <c r="F157" s="99"/>
      <c r="G157" s="99"/>
      <c r="H157" s="99"/>
      <c r="I157" s="99"/>
      <c r="J157" s="99"/>
      <c r="K157" s="99"/>
      <c r="L157" s="99"/>
      <c r="M157" s="100"/>
      <c r="N157" s="101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</row>
    <row r="158" spans="2:30" s="6" customFormat="1" ht="180.75" customHeight="1" x14ac:dyDescent="0.2">
      <c r="B158" s="102" t="s">
        <v>29</v>
      </c>
      <c r="C158" s="102"/>
      <c r="D158" s="513"/>
      <c r="E158" s="514"/>
      <c r="F158" s="514"/>
      <c r="G158" s="514"/>
      <c r="H158" s="514"/>
      <c r="I158" s="514"/>
      <c r="J158" s="514"/>
      <c r="K158" s="514"/>
      <c r="L158" s="514"/>
      <c r="M158" s="514"/>
      <c r="N158" s="51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</row>
    <row r="159" spans="2:30" ht="5.0999999999999996" customHeight="1" x14ac:dyDescent="0.2"/>
    <row r="160" spans="2:30" ht="12.75" customHeight="1" x14ac:dyDescent="0.2">
      <c r="B160" s="103" t="s">
        <v>30</v>
      </c>
      <c r="F160" s="50"/>
      <c r="G160" s="106"/>
      <c r="H160" s="106"/>
      <c r="I160" s="421"/>
      <c r="J160" s="422"/>
      <c r="K160" s="422"/>
      <c r="L160" s="423"/>
      <c r="M160" s="423"/>
      <c r="N160" s="423"/>
    </row>
    <row r="161" spans="2:30" ht="5.0999999999999996" customHeight="1" x14ac:dyDescent="0.2"/>
    <row r="162" spans="2:30" x14ac:dyDescent="0.2">
      <c r="B162" s="103" t="s">
        <v>20</v>
      </c>
      <c r="F162" s="50"/>
      <c r="G162" s="106"/>
      <c r="H162" s="106"/>
      <c r="I162" s="508"/>
      <c r="J162" s="509"/>
      <c r="K162" s="509"/>
      <c r="L162" s="423"/>
      <c r="M162" s="423"/>
      <c r="N162" s="423"/>
    </row>
    <row r="163" spans="2:30" ht="9.9499999999999993" customHeight="1" x14ac:dyDescent="0.2"/>
    <row r="164" spans="2:30" x14ac:dyDescent="0.2">
      <c r="B164" s="103" t="s">
        <v>21</v>
      </c>
      <c r="I164" s="103" t="s">
        <v>22</v>
      </c>
    </row>
    <row r="165" spans="2:30" x14ac:dyDescent="0.2">
      <c r="B165" s="103" t="s">
        <v>23</v>
      </c>
    </row>
    <row r="170" spans="2:30" x14ac:dyDescent="0.2">
      <c r="B170" s="91"/>
      <c r="C170" s="91"/>
      <c r="D170" s="91"/>
      <c r="E170" s="91"/>
      <c r="F170" s="92"/>
      <c r="I170" s="91"/>
      <c r="J170" s="91"/>
      <c r="K170" s="91"/>
      <c r="L170" s="92"/>
      <c r="M170" s="93"/>
      <c r="N170" s="91"/>
    </row>
    <row r="171" spans="2:30" s="7" customFormat="1" ht="11.25" x14ac:dyDescent="0.2">
      <c r="B171" s="107" t="s">
        <v>28</v>
      </c>
      <c r="C171" s="107"/>
      <c r="D171" s="107"/>
      <c r="E171" s="107"/>
      <c r="F171" s="108"/>
      <c r="G171" s="109"/>
      <c r="H171" s="109"/>
      <c r="I171" s="107" t="s">
        <v>28</v>
      </c>
      <c r="J171" s="107"/>
      <c r="K171" s="107"/>
      <c r="L171" s="108"/>
      <c r="M171" s="109"/>
      <c r="N171" s="107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</row>
    <row r="172" spans="2:30" ht="9.75" customHeight="1" x14ac:dyDescent="0.2"/>
    <row r="173" spans="2:30" s="9" customFormat="1" ht="14.1" customHeight="1" x14ac:dyDescent="0.2">
      <c r="B173" s="110" t="s">
        <v>69</v>
      </c>
      <c r="C173" s="111"/>
      <c r="D173" s="111"/>
      <c r="E173" s="111"/>
      <c r="F173" s="112"/>
      <c r="G173" s="113"/>
      <c r="H173" s="113"/>
      <c r="I173" s="114"/>
      <c r="J173" s="114"/>
      <c r="K173" s="112"/>
      <c r="L173" s="113"/>
      <c r="M173" s="112"/>
      <c r="N173" s="113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</row>
    <row r="174" spans="2:30" s="9" customFormat="1" ht="14.1" customHeight="1" x14ac:dyDescent="0.2">
      <c r="B174" s="417" t="s">
        <v>68</v>
      </c>
      <c r="C174" s="418"/>
      <c r="D174" s="418"/>
      <c r="E174" s="418"/>
      <c r="F174" s="418"/>
      <c r="G174" s="418"/>
      <c r="H174" s="418"/>
      <c r="I174" s="418"/>
      <c r="J174" s="418"/>
      <c r="K174" s="418"/>
      <c r="L174" s="418"/>
      <c r="M174" s="418"/>
      <c r="N174" s="418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</row>
    <row r="175" spans="2:30" s="9" customFormat="1" ht="14.1" customHeight="1" x14ac:dyDescent="0.2">
      <c r="B175" s="417" t="s">
        <v>42</v>
      </c>
      <c r="C175" s="418"/>
      <c r="D175" s="418"/>
      <c r="E175" s="418"/>
      <c r="F175" s="418"/>
      <c r="G175" s="418"/>
      <c r="H175" s="418"/>
      <c r="I175" s="418"/>
      <c r="J175" s="418"/>
      <c r="K175" s="418"/>
      <c r="L175" s="418"/>
      <c r="M175" s="418"/>
      <c r="N175" s="418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</row>
    <row r="176" spans="2:30" s="9" customFormat="1" ht="14.1" customHeight="1" x14ac:dyDescent="0.2">
      <c r="B176" s="417" t="s">
        <v>43</v>
      </c>
      <c r="C176" s="418"/>
      <c r="D176" s="418"/>
      <c r="E176" s="418"/>
      <c r="F176" s="418"/>
      <c r="G176" s="418"/>
      <c r="H176" s="418"/>
      <c r="I176" s="418"/>
      <c r="J176" s="418"/>
      <c r="K176" s="418"/>
      <c r="L176" s="418"/>
      <c r="M176" s="418"/>
      <c r="N176" s="418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</row>
    <row r="177" spans="1:30" s="9" customFormat="1" ht="14.1" customHeight="1" x14ac:dyDescent="0.2">
      <c r="B177" s="528" t="s">
        <v>44</v>
      </c>
      <c r="C177" s="418"/>
      <c r="D177" s="418"/>
      <c r="E177" s="418"/>
      <c r="F177" s="418"/>
      <c r="G177" s="418"/>
      <c r="H177" s="418"/>
      <c r="I177" s="418"/>
      <c r="J177" s="418"/>
      <c r="K177" s="418"/>
      <c r="L177" s="418"/>
      <c r="M177" s="418"/>
      <c r="N177" s="418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</row>
    <row r="178" spans="1:30" s="9" customFormat="1" ht="13.5" customHeight="1" x14ac:dyDescent="0.2">
      <c r="B178" s="417" t="s">
        <v>108</v>
      </c>
      <c r="C178" s="527"/>
      <c r="D178" s="527"/>
      <c r="E178" s="527"/>
      <c r="F178" s="527"/>
      <c r="G178" s="527"/>
      <c r="H178" s="527"/>
      <c r="I178" s="527"/>
      <c r="J178" s="527"/>
      <c r="K178" s="527"/>
      <c r="L178" s="527"/>
      <c r="M178" s="527"/>
      <c r="N178" s="52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</row>
    <row r="179" spans="1:30" ht="21" customHeight="1" x14ac:dyDescent="0.2">
      <c r="B179" s="115"/>
    </row>
    <row r="180" spans="1:30" ht="11.25" hidden="1" customHeight="1" x14ac:dyDescent="0.2">
      <c r="A180" s="116">
        <v>1</v>
      </c>
      <c r="B180" s="115"/>
      <c r="E180" s="117"/>
    </row>
    <row r="181" spans="1:30" hidden="1" x14ac:dyDescent="0.2">
      <c r="A181" s="116">
        <v>1.5</v>
      </c>
      <c r="B181" s="118"/>
      <c r="C181" s="119">
        <v>5</v>
      </c>
      <c r="D181" s="120"/>
      <c r="E181" s="116"/>
    </row>
    <row r="182" spans="1:30" hidden="1" x14ac:dyDescent="0.2">
      <c r="A182" s="116">
        <v>2</v>
      </c>
      <c r="B182" s="115"/>
      <c r="C182" s="119">
        <v>6</v>
      </c>
      <c r="E182" s="116"/>
    </row>
    <row r="183" spans="1:30" hidden="1" x14ac:dyDescent="0.2">
      <c r="A183" s="116">
        <v>2.5</v>
      </c>
      <c r="C183" s="119"/>
      <c r="E183" s="116"/>
    </row>
    <row r="184" spans="1:30" hidden="1" x14ac:dyDescent="0.2">
      <c r="A184" s="116">
        <v>3</v>
      </c>
      <c r="C184" s="119"/>
      <c r="E184" s="116"/>
    </row>
    <row r="185" spans="1:30" x14ac:dyDescent="0.2">
      <c r="C185" s="119"/>
      <c r="E185" s="116"/>
    </row>
    <row r="186" spans="1:30" x14ac:dyDescent="0.2">
      <c r="D186" s="119"/>
      <c r="E186" s="116"/>
    </row>
    <row r="192" spans="1:30" x14ac:dyDescent="0.2">
      <c r="A192" s="121"/>
    </row>
  </sheetData>
  <sheetProtection algorithmName="SHA-512" hashValue="Bbb1BoIQqUMhavkoJDWrdG41OmYP46IvDgoLHH4uKnXhM3MRe2n1Ac16dWPqeqD7HARBMkq1pI7B2kgMdGv4ig==" saltValue="loSjwlakLobg6oTDnXSU+Q==" spinCount="100000" sheet="1" selectLockedCells="1"/>
  <dataConsolidate/>
  <customSheetViews>
    <customSheetView guid="{89661B01-CAAB-482C-82D9-4F70D9977123}" scale="145" showGridLines="0" printArea="1" showRuler="0">
      <selection activeCell="F14" sqref="F14"/>
      <rowBreaks count="2" manualBreakCount="2">
        <brk id="48" max="16383" man="1"/>
        <brk id="91" max="16383" man="1"/>
      </rowBreaks>
      <pageMargins left="0.19685039370078741" right="0.19685039370078741" top="0.31496062992125984" bottom="0.19685039370078741" header="0.39370078740157483" footer="0.19685039370078741"/>
      <pageSetup paperSize="9" orientation="portrait" r:id="rId1"/>
      <headerFooter alignWithMargins="0">
        <oddFooter>&amp;L&amp;8      Mai 2011&amp;R&amp;8Seite &amp;P von &amp;N</oddFooter>
      </headerFooter>
    </customSheetView>
  </customSheetViews>
  <mergeCells count="277">
    <mergeCell ref="M120:N120"/>
    <mergeCell ref="M117:N117"/>
    <mergeCell ref="M116:N116"/>
    <mergeCell ref="B94:E94"/>
    <mergeCell ref="B102:K102"/>
    <mergeCell ref="B113:E113"/>
    <mergeCell ref="H115:L115"/>
    <mergeCell ref="M44:N44"/>
    <mergeCell ref="I155:L155"/>
    <mergeCell ref="B155:F155"/>
    <mergeCell ref="I142:N145"/>
    <mergeCell ref="B118:E118"/>
    <mergeCell ref="H149:N149"/>
    <mergeCell ref="B119:E119"/>
    <mergeCell ref="B147:F147"/>
    <mergeCell ref="B146:F146"/>
    <mergeCell ref="B143:F143"/>
    <mergeCell ref="I146:L146"/>
    <mergeCell ref="I147:L147"/>
    <mergeCell ref="I132:K132"/>
    <mergeCell ref="B131:N131"/>
    <mergeCell ref="J127:K127"/>
    <mergeCell ref="J128:K128"/>
    <mergeCell ref="H118:L118"/>
    <mergeCell ref="H119:L119"/>
    <mergeCell ref="B141:N141"/>
    <mergeCell ref="M118:N118"/>
    <mergeCell ref="B124:C124"/>
    <mergeCell ref="B106:K106"/>
    <mergeCell ref="B111:L111"/>
    <mergeCell ref="M111:N111"/>
    <mergeCell ref="M113:N113"/>
    <mergeCell ref="M114:N114"/>
    <mergeCell ref="M115:N115"/>
    <mergeCell ref="B109:K109"/>
    <mergeCell ref="B108:K108"/>
    <mergeCell ref="B110:C110"/>
    <mergeCell ref="B107:K107"/>
    <mergeCell ref="H114:L114"/>
    <mergeCell ref="D110:N110"/>
    <mergeCell ref="B117:E117"/>
    <mergeCell ref="B128:C128"/>
    <mergeCell ref="B134:C134"/>
    <mergeCell ref="D134:E134"/>
    <mergeCell ref="B135:C135"/>
    <mergeCell ref="D135:E135"/>
    <mergeCell ref="L134:N134"/>
    <mergeCell ref="J124:K124"/>
    <mergeCell ref="B178:N178"/>
    <mergeCell ref="B174:N174"/>
    <mergeCell ref="B177:N177"/>
    <mergeCell ref="M37:N37"/>
    <mergeCell ref="M43:N43"/>
    <mergeCell ref="B79:D79"/>
    <mergeCell ref="B77:D77"/>
    <mergeCell ref="B78:D78"/>
    <mergeCell ref="B75:D75"/>
    <mergeCell ref="J87:K88"/>
    <mergeCell ref="B61:D61"/>
    <mergeCell ref="B41:D41"/>
    <mergeCell ref="B42:D42"/>
    <mergeCell ref="B71:D71"/>
    <mergeCell ref="B76:D76"/>
    <mergeCell ref="B43:E43"/>
    <mergeCell ref="B52:D52"/>
    <mergeCell ref="B53:D53"/>
    <mergeCell ref="D124:E124"/>
    <mergeCell ref="B125:C125"/>
    <mergeCell ref="M119:N119"/>
    <mergeCell ref="B144:F144"/>
    <mergeCell ref="I134:K134"/>
    <mergeCell ref="B126:C126"/>
    <mergeCell ref="B176:N176"/>
    <mergeCell ref="B18:D18"/>
    <mergeCell ref="M17:N17"/>
    <mergeCell ref="B16:N16"/>
    <mergeCell ref="B19:D19"/>
    <mergeCell ref="B14:D14"/>
    <mergeCell ref="H22:I22"/>
    <mergeCell ref="J22:L22"/>
    <mergeCell ref="I162:N162"/>
    <mergeCell ref="B149:F149"/>
    <mergeCell ref="D158:N158"/>
    <mergeCell ref="B150:E150"/>
    <mergeCell ref="F152:G152"/>
    <mergeCell ref="B156:L156"/>
    <mergeCell ref="B120:L120"/>
    <mergeCell ref="L123:N123"/>
    <mergeCell ref="B145:F145"/>
    <mergeCell ref="B132:C132"/>
    <mergeCell ref="D132:E132"/>
    <mergeCell ref="B133:C133"/>
    <mergeCell ref="D133:E133"/>
    <mergeCell ref="B103:K103"/>
    <mergeCell ref="B97:E97"/>
    <mergeCell ref="J19:L19"/>
    <mergeCell ref="B6:C6"/>
    <mergeCell ref="B15:D15"/>
    <mergeCell ref="J20:L20"/>
    <mergeCell ref="J21:L21"/>
    <mergeCell ref="B21:D21"/>
    <mergeCell ref="H14:L14"/>
    <mergeCell ref="H5:K5"/>
    <mergeCell ref="D4:G4"/>
    <mergeCell ref="B8:N8"/>
    <mergeCell ref="H17:I17"/>
    <mergeCell ref="H18:I18"/>
    <mergeCell ref="H12:L12"/>
    <mergeCell ref="H15:L15"/>
    <mergeCell ref="J18:L18"/>
    <mergeCell ref="J17:L17"/>
    <mergeCell ref="L1:N1"/>
    <mergeCell ref="J1:K1"/>
    <mergeCell ref="L2:N2"/>
    <mergeCell ref="J2:K2"/>
    <mergeCell ref="B20:D20"/>
    <mergeCell ref="B1:B2"/>
    <mergeCell ref="D6:G6"/>
    <mergeCell ref="B12:D12"/>
    <mergeCell ref="B4:C4"/>
    <mergeCell ref="B5:C5"/>
    <mergeCell ref="D5:G5"/>
    <mergeCell ref="M12:N12"/>
    <mergeCell ref="H6:I6"/>
    <mergeCell ref="B17:D17"/>
    <mergeCell ref="J6:N6"/>
    <mergeCell ref="H20:I20"/>
    <mergeCell ref="H19:I19"/>
    <mergeCell ref="H4:I4"/>
    <mergeCell ref="D1:E2"/>
    <mergeCell ref="F1:I2"/>
    <mergeCell ref="B13:D13"/>
    <mergeCell ref="H13:L13"/>
    <mergeCell ref="J4:N4"/>
    <mergeCell ref="L5:N5"/>
    <mergeCell ref="I154:L154"/>
    <mergeCell ref="B175:N175"/>
    <mergeCell ref="D126:E126"/>
    <mergeCell ref="D127:E127"/>
    <mergeCell ref="I160:N160"/>
    <mergeCell ref="D125:E125"/>
    <mergeCell ref="D128:E128"/>
    <mergeCell ref="B92:E92"/>
    <mergeCell ref="B105:K105"/>
    <mergeCell ref="I135:K135"/>
    <mergeCell ref="L135:N135"/>
    <mergeCell ref="J129:K129"/>
    <mergeCell ref="L132:N132"/>
    <mergeCell ref="L133:N133"/>
    <mergeCell ref="I133:K133"/>
    <mergeCell ref="B129:C129"/>
    <mergeCell ref="D129:E129"/>
    <mergeCell ref="B153:N153"/>
    <mergeCell ref="J138:K139"/>
    <mergeCell ref="L138:N139"/>
    <mergeCell ref="L128:N128"/>
    <mergeCell ref="L129:N129"/>
    <mergeCell ref="J126:K126"/>
    <mergeCell ref="B127:C127"/>
    <mergeCell ref="B22:D22"/>
    <mergeCell ref="H21:I21"/>
    <mergeCell ref="G84:L84"/>
    <mergeCell ref="M84:N84"/>
    <mergeCell ref="L87:N88"/>
    <mergeCell ref="M79:N79"/>
    <mergeCell ref="M80:N80"/>
    <mergeCell ref="M81:N81"/>
    <mergeCell ref="M82:N82"/>
    <mergeCell ref="M83:N83"/>
    <mergeCell ref="M77:N77"/>
    <mergeCell ref="M78:N78"/>
    <mergeCell ref="M75:N75"/>
    <mergeCell ref="M76:N76"/>
    <mergeCell ref="B34:D34"/>
    <mergeCell ref="B84:E84"/>
    <mergeCell ref="B63:D63"/>
    <mergeCell ref="B72:D72"/>
    <mergeCell ref="B69:D69"/>
    <mergeCell ref="G75:K75"/>
    <mergeCell ref="B66:D66"/>
    <mergeCell ref="B82:D82"/>
    <mergeCell ref="D44:L44"/>
    <mergeCell ref="B44:C44"/>
    <mergeCell ref="B40:D40"/>
    <mergeCell ref="G76:K83"/>
    <mergeCell ref="I67:L72"/>
    <mergeCell ref="L45:N46"/>
    <mergeCell ref="B38:D38"/>
    <mergeCell ref="B62:D62"/>
    <mergeCell ref="B101:K101"/>
    <mergeCell ref="B96:E96"/>
    <mergeCell ref="B67:D67"/>
    <mergeCell ref="H90:L90"/>
    <mergeCell ref="H91:L91"/>
    <mergeCell ref="H92:L92"/>
    <mergeCell ref="H93:L93"/>
    <mergeCell ref="H94:L94"/>
    <mergeCell ref="H95:L95"/>
    <mergeCell ref="H96:L96"/>
    <mergeCell ref="H97:L97"/>
    <mergeCell ref="B90:E90"/>
    <mergeCell ref="B93:E93"/>
    <mergeCell ref="B91:E91"/>
    <mergeCell ref="B95:E95"/>
    <mergeCell ref="B99:K99"/>
    <mergeCell ref="B24:F24"/>
    <mergeCell ref="B26:D26"/>
    <mergeCell ref="B28:D28"/>
    <mergeCell ref="B25:D25"/>
    <mergeCell ref="B35:D35"/>
    <mergeCell ref="G48:N48"/>
    <mergeCell ref="B60:D60"/>
    <mergeCell ref="B59:D59"/>
    <mergeCell ref="M40:N40"/>
    <mergeCell ref="M38:N38"/>
    <mergeCell ref="B54:D54"/>
    <mergeCell ref="B55:D55"/>
    <mergeCell ref="G37:K37"/>
    <mergeCell ref="G24:N24"/>
    <mergeCell ref="M41:N41"/>
    <mergeCell ref="M42:N42"/>
    <mergeCell ref="M39:N39"/>
    <mergeCell ref="B48:F48"/>
    <mergeCell ref="B30:D30"/>
    <mergeCell ref="B29:D29"/>
    <mergeCell ref="G35:L35"/>
    <mergeCell ref="B27:D27"/>
    <mergeCell ref="B31:D31"/>
    <mergeCell ref="B32:D32"/>
    <mergeCell ref="B33:D33"/>
    <mergeCell ref="J125:K125"/>
    <mergeCell ref="J45:K46"/>
    <mergeCell ref="G64:L64"/>
    <mergeCell ref="I66:L66"/>
    <mergeCell ref="B81:D81"/>
    <mergeCell ref="B70:D70"/>
    <mergeCell ref="B68:D68"/>
    <mergeCell ref="B100:K100"/>
    <mergeCell ref="B64:E64"/>
    <mergeCell ref="B58:D58"/>
    <mergeCell ref="B80:D80"/>
    <mergeCell ref="B83:D83"/>
    <mergeCell ref="B56:E56"/>
    <mergeCell ref="B73:E73"/>
    <mergeCell ref="G73:L73"/>
    <mergeCell ref="G38:K42"/>
    <mergeCell ref="G56:L56"/>
    <mergeCell ref="G43:L43"/>
    <mergeCell ref="B49:D49"/>
    <mergeCell ref="B50:D50"/>
    <mergeCell ref="B51:D51"/>
    <mergeCell ref="B37:D37"/>
    <mergeCell ref="B39:D39"/>
    <mergeCell ref="B142:E142"/>
    <mergeCell ref="B136:C136"/>
    <mergeCell ref="D136:E136"/>
    <mergeCell ref="I136:K136"/>
    <mergeCell ref="L136:N136"/>
    <mergeCell ref="B151:L151"/>
    <mergeCell ref="B45:I46"/>
    <mergeCell ref="B87:I88"/>
    <mergeCell ref="B138:I139"/>
    <mergeCell ref="L124:N124"/>
    <mergeCell ref="L125:N125"/>
    <mergeCell ref="L126:N126"/>
    <mergeCell ref="L127:N127"/>
    <mergeCell ref="A112:XFD112"/>
    <mergeCell ref="B122:N122"/>
    <mergeCell ref="B123:C123"/>
    <mergeCell ref="D123:E123"/>
    <mergeCell ref="J123:K123"/>
    <mergeCell ref="H116:L116"/>
    <mergeCell ref="H117:L117"/>
    <mergeCell ref="H113:L113"/>
    <mergeCell ref="B116:E116"/>
    <mergeCell ref="B115:E115"/>
    <mergeCell ref="B114:E114"/>
  </mergeCells>
  <phoneticPr fontId="0" type="noConversion"/>
  <conditionalFormatting sqref="M151 M156">
    <cfRule type="cellIs" dxfId="8" priority="9" stopIfTrue="1" operator="lessThanOrEqual">
      <formula>"""0"""</formula>
    </cfRule>
    <cfRule type="cellIs" dxfId="7" priority="10" stopIfTrue="1" operator="greaterThan">
      <formula>"""0"""</formula>
    </cfRule>
  </conditionalFormatting>
  <conditionalFormatting sqref="N146">
    <cfRule type="cellIs" dxfId="6" priority="17" stopIfTrue="1" operator="greaterThan">
      <formula>3.01</formula>
    </cfRule>
    <cfRule type="cellIs" dxfId="5" priority="18" stopIfTrue="1" operator="lessThan">
      <formula>3.01</formula>
    </cfRule>
  </conditionalFormatting>
  <conditionalFormatting sqref="J57:K57 J65">
    <cfRule type="cellIs" dxfId="4" priority="12" stopIfTrue="1" operator="notEqual">
      <formula>$H$55</formula>
    </cfRule>
  </conditionalFormatting>
  <conditionalFormatting sqref="J36">
    <cfRule type="cellIs" dxfId="3" priority="19" stopIfTrue="1" operator="equal">
      <formula>#REF!</formula>
    </cfRule>
    <cfRule type="cellIs" dxfId="2" priority="20" stopIfTrue="1" operator="notEqual">
      <formula>#REF!</formula>
    </cfRule>
  </conditionalFormatting>
  <conditionalFormatting sqref="J74">
    <cfRule type="cellIs" dxfId="1" priority="1" stopIfTrue="1" operator="notEqual">
      <formula>$F$84</formula>
    </cfRule>
    <cfRule type="cellIs" dxfId="0" priority="2" stopIfTrue="1" operator="equal">
      <formula>$F$84</formula>
    </cfRule>
  </conditionalFormatting>
  <dataValidations count="5">
    <dataValidation type="list" operator="equal" allowBlank="1" showInputMessage="1" showErrorMessage="1" sqref="G149">
      <formula1>$C$181:$C$185</formula1>
    </dataValidation>
    <dataValidation type="list" allowBlank="1" showInputMessage="1" showErrorMessage="1" sqref="Q146:S146">
      <formula1>$Q$141:$Q$145</formula1>
    </dataValidation>
    <dataValidation type="list" allowBlank="1" showInputMessage="1" showErrorMessage="1" sqref="D124:D130 E125:E130">
      <formula1>"Ortbeton,Elementbau,Stahl,Andere (siehe Bemerkung)"</formula1>
    </dataValidation>
    <dataValidation type="list" allowBlank="1" showInputMessage="1" showErrorMessage="1" sqref="D137:E137">
      <formula1>"Betonplatte mit Güllegrube,Mistplatz überdacht,Stahlmulde abgedeckt,Naturboden,Tiefstreulager,Andere (siehe Bemerkung)"</formula1>
    </dataValidation>
    <dataValidation type="list" allowBlank="1" showInputMessage="1" showErrorMessage="1" sqref="D133:E136">
      <formula1>"Betonplatte mit Güllegrube,Mistplatz überdacht,Tiefstreulager,Stahlmulde abgedeckt,Andere (siehe Bemerkung)"</formula1>
    </dataValidation>
  </dataValidations>
  <pageMargins left="0.19685039370078741" right="0.39370078740157483" top="0.31496062992125984" bottom="0.19685039370078741" header="0.19685039370078741" footer="0.19685039370078741"/>
  <pageSetup paperSize="9" orientation="portrait" r:id="rId2"/>
  <headerFooter differentFirst="1">
    <oddFooter>&amp;L&amp;8                   März 2020&amp;R&amp;8Seite &amp;P von &amp;N</oddFooter>
  </headerFooter>
  <rowBreaks count="3" manualBreakCount="3">
    <brk id="44" max="16383" man="1"/>
    <brk id="86" max="16383" man="1"/>
    <brk id="137" max="16383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3" r:id="rId5" name="Check Box 29">
              <controlPr locked="0" defaultSize="0" autoFill="0" autoLine="0" autoPict="0">
                <anchor moveWithCells="1">
                  <from>
                    <xdr:col>0</xdr:col>
                    <xdr:colOff>457200</xdr:colOff>
                    <xdr:row>8</xdr:row>
                    <xdr:rowOff>66675</xdr:rowOff>
                  </from>
                  <to>
                    <xdr:col>1</xdr:col>
                    <xdr:colOff>238125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6" name="Check Box 30">
              <controlPr locked="0" defaultSize="0" autoFill="0" autoLine="0" autoPict="0">
                <anchor moveWithCells="1">
                  <from>
                    <xdr:col>3</xdr:col>
                    <xdr:colOff>228600</xdr:colOff>
                    <xdr:row>8</xdr:row>
                    <xdr:rowOff>66675</xdr:rowOff>
                  </from>
                  <to>
                    <xdr:col>4</xdr:col>
                    <xdr:colOff>28575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7" name="Button 52">
              <controlPr defaultSize="0" print="0" autoFill="0" autoPict="0" macro="[0]!Eingabe_löschen">
                <anchor moveWithCells="1">
                  <from>
                    <xdr:col>7</xdr:col>
                    <xdr:colOff>57150</xdr:colOff>
                    <xdr:row>9</xdr:row>
                    <xdr:rowOff>9525</xdr:rowOff>
                  </from>
                  <to>
                    <xdr:col>9</xdr:col>
                    <xdr:colOff>247650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6" r:id="rId8" name="Group Box 282">
              <controlPr locked="0" defaultSize="0" print="0" autoFill="0" autoPict="0" macro="[0]!Box1An" altText="GroupBauernhaus">
                <anchor moveWithCells="1">
                  <from>
                    <xdr:col>6</xdr:col>
                    <xdr:colOff>466725</xdr:colOff>
                    <xdr:row>12</xdr:row>
                    <xdr:rowOff>9525</xdr:rowOff>
                  </from>
                  <to>
                    <xdr:col>11</xdr:col>
                    <xdr:colOff>485775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" r:id="rId9" name="Group Box 317">
              <controlPr defaultSize="0" autoFill="0" autoPict="0" macro="[0]!Box4An">
                <anchor moveWithCells="1">
                  <from>
                    <xdr:col>9</xdr:col>
                    <xdr:colOff>0</xdr:colOff>
                    <xdr:row>17</xdr:row>
                    <xdr:rowOff>38100</xdr:rowOff>
                  </from>
                  <to>
                    <xdr:col>12</xdr:col>
                    <xdr:colOff>28575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2" r:id="rId10" name="Group Box 368">
              <controlPr defaultSize="0" autoFill="0" autoPict="0" macro="[0]!Box3An">
                <anchor moveWithCells="1">
                  <from>
                    <xdr:col>6</xdr:col>
                    <xdr:colOff>457200</xdr:colOff>
                    <xdr:row>12</xdr:row>
                    <xdr:rowOff>9525</xdr:rowOff>
                  </from>
                  <to>
                    <xdr:col>11</xdr:col>
                    <xdr:colOff>485775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8" r:id="rId11" name="Group Box 374">
              <controlPr defaultSize="0" autoFill="0" autoPict="0" macro="[0]!Box4An">
                <anchor moveWithCells="1">
                  <from>
                    <xdr:col>9</xdr:col>
                    <xdr:colOff>0</xdr:colOff>
                    <xdr:row>17</xdr:row>
                    <xdr:rowOff>38100</xdr:rowOff>
                  </from>
                  <to>
                    <xdr:col>12</xdr:col>
                    <xdr:colOff>190500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1" r:id="rId12" name="Group Box 377">
              <controlPr defaultSize="0" autoFill="0" autoPict="0" macro="[0]!Box5An">
                <anchor moveWithCells="1">
                  <from>
                    <xdr:col>9</xdr:col>
                    <xdr:colOff>0</xdr:colOff>
                    <xdr:row>18</xdr:row>
                    <xdr:rowOff>38100</xdr:rowOff>
                  </from>
                  <to>
                    <xdr:col>12</xdr:col>
                    <xdr:colOff>190500</xdr:colOff>
                    <xdr:row>19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4" r:id="rId13" name="Group Box 380">
              <controlPr defaultSize="0" autoFill="0" autoPict="0" macro="[0]!Box6An">
                <anchor moveWithCells="1">
                  <from>
                    <xdr:col>9</xdr:col>
                    <xdr:colOff>0</xdr:colOff>
                    <xdr:row>19</xdr:row>
                    <xdr:rowOff>47625</xdr:rowOff>
                  </from>
                  <to>
                    <xdr:col>12</xdr:col>
                    <xdr:colOff>190500</xdr:colOff>
                    <xdr:row>20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7" r:id="rId14" name="Group Box 383">
              <controlPr defaultSize="0" autoFill="0" autoPict="0" macro="[0]!Box7An">
                <anchor moveWithCells="1">
                  <from>
                    <xdr:col>9</xdr:col>
                    <xdr:colOff>0</xdr:colOff>
                    <xdr:row>20</xdr:row>
                    <xdr:rowOff>66675</xdr:rowOff>
                  </from>
                  <to>
                    <xdr:col>12</xdr:col>
                    <xdr:colOff>171450</xdr:colOff>
                    <xdr:row>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0" r:id="rId15" name="Group Box 386">
              <controlPr defaultSize="0" autoFill="0" autoPict="0" macro="[0]!Box8An">
                <anchor moveWithCells="1">
                  <from>
                    <xdr:col>9</xdr:col>
                    <xdr:colOff>0</xdr:colOff>
                    <xdr:row>21</xdr:row>
                    <xdr:rowOff>19050</xdr:rowOff>
                  </from>
                  <to>
                    <xdr:col>12</xdr:col>
                    <xdr:colOff>190500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2" r:id="rId16" name="Group Box 598">
              <controlPr defaultSize="0" autoFill="0" autoPict="0" macro="[0]!Box4An">
                <anchor moveWithCells="1">
                  <from>
                    <xdr:col>9</xdr:col>
                    <xdr:colOff>0</xdr:colOff>
                    <xdr:row>18</xdr:row>
                    <xdr:rowOff>38100</xdr:rowOff>
                  </from>
                  <to>
                    <xdr:col>12</xdr:col>
                    <xdr:colOff>28575</xdr:colOff>
                    <xdr:row>19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3" r:id="rId17" name="Group Box 599">
              <controlPr defaultSize="0" autoFill="0" autoPict="0" macro="[0]!Box4An">
                <anchor moveWithCells="1">
                  <from>
                    <xdr:col>9</xdr:col>
                    <xdr:colOff>0</xdr:colOff>
                    <xdr:row>18</xdr:row>
                    <xdr:rowOff>38100</xdr:rowOff>
                  </from>
                  <to>
                    <xdr:col>12</xdr:col>
                    <xdr:colOff>190500</xdr:colOff>
                    <xdr:row>19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4" r:id="rId18" name="Group Box 600">
              <controlPr defaultSize="0" autoFill="0" autoPict="0" macro="[0]!Box4An">
                <anchor moveWithCells="1">
                  <from>
                    <xdr:col>9</xdr:col>
                    <xdr:colOff>0</xdr:colOff>
                    <xdr:row>19</xdr:row>
                    <xdr:rowOff>38100</xdr:rowOff>
                  </from>
                  <to>
                    <xdr:col>12</xdr:col>
                    <xdr:colOff>28575</xdr:colOff>
                    <xdr:row>20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5" r:id="rId19" name="Group Box 601">
              <controlPr defaultSize="0" autoFill="0" autoPict="0" macro="[0]!Box4An">
                <anchor moveWithCells="1">
                  <from>
                    <xdr:col>9</xdr:col>
                    <xdr:colOff>0</xdr:colOff>
                    <xdr:row>19</xdr:row>
                    <xdr:rowOff>38100</xdr:rowOff>
                  </from>
                  <to>
                    <xdr:col>12</xdr:col>
                    <xdr:colOff>190500</xdr:colOff>
                    <xdr:row>20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6" r:id="rId20" name="Group Box 602">
              <controlPr defaultSize="0" autoFill="0" autoPict="0" macro="[0]!Box4An">
                <anchor moveWithCells="1">
                  <from>
                    <xdr:col>9</xdr:col>
                    <xdr:colOff>0</xdr:colOff>
                    <xdr:row>20</xdr:row>
                    <xdr:rowOff>38100</xdr:rowOff>
                  </from>
                  <to>
                    <xdr:col>12</xdr:col>
                    <xdr:colOff>28575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7" r:id="rId21" name="Group Box 603">
              <controlPr defaultSize="0" autoFill="0" autoPict="0" macro="[0]!Box4An">
                <anchor moveWithCells="1">
                  <from>
                    <xdr:col>9</xdr:col>
                    <xdr:colOff>0</xdr:colOff>
                    <xdr:row>20</xdr:row>
                    <xdr:rowOff>38100</xdr:rowOff>
                  </from>
                  <to>
                    <xdr:col>12</xdr:col>
                    <xdr:colOff>190500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8" r:id="rId22" name="Group Box 604">
              <controlPr defaultSize="0" autoFill="0" autoPict="0" macro="[0]!Box4An">
                <anchor moveWithCells="1">
                  <from>
                    <xdr:col>9</xdr:col>
                    <xdr:colOff>0</xdr:colOff>
                    <xdr:row>20</xdr:row>
                    <xdr:rowOff>38100</xdr:rowOff>
                  </from>
                  <to>
                    <xdr:col>12</xdr:col>
                    <xdr:colOff>28575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9" r:id="rId23" name="Group Box 605">
              <controlPr defaultSize="0" autoFill="0" autoPict="0" macro="[0]!Box4An">
                <anchor moveWithCells="1">
                  <from>
                    <xdr:col>9</xdr:col>
                    <xdr:colOff>0</xdr:colOff>
                    <xdr:row>20</xdr:row>
                    <xdr:rowOff>38100</xdr:rowOff>
                  </from>
                  <to>
                    <xdr:col>12</xdr:col>
                    <xdr:colOff>190500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0" r:id="rId24" name="Group Box 606">
              <controlPr defaultSize="0" autoFill="0" autoPict="0" macro="[0]!Box4An">
                <anchor moveWithCells="1">
                  <from>
                    <xdr:col>9</xdr:col>
                    <xdr:colOff>0</xdr:colOff>
                    <xdr:row>21</xdr:row>
                    <xdr:rowOff>0</xdr:rowOff>
                  </from>
                  <to>
                    <xdr:col>12</xdr:col>
                    <xdr:colOff>28575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1" r:id="rId25" name="Group Box 607">
              <controlPr defaultSize="0" autoFill="0" autoPict="0" macro="[0]!Box4An">
                <anchor moveWithCells="1">
                  <from>
                    <xdr:col>9</xdr:col>
                    <xdr:colOff>0</xdr:colOff>
                    <xdr:row>21</xdr:row>
                    <xdr:rowOff>0</xdr:rowOff>
                  </from>
                  <to>
                    <xdr:col>12</xdr:col>
                    <xdr:colOff>190500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2" r:id="rId26" name="Group Box 608">
              <controlPr defaultSize="0" autoFill="0" autoPict="0" macro="[0]!Box4An">
                <anchor moveWithCells="1">
                  <from>
                    <xdr:col>9</xdr:col>
                    <xdr:colOff>0</xdr:colOff>
                    <xdr:row>21</xdr:row>
                    <xdr:rowOff>0</xdr:rowOff>
                  </from>
                  <to>
                    <xdr:col>12</xdr:col>
                    <xdr:colOff>28575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3" r:id="rId27" name="Group Box 609">
              <controlPr defaultSize="0" autoFill="0" autoPict="0" macro="[0]!Box4An">
                <anchor moveWithCells="1">
                  <from>
                    <xdr:col>9</xdr:col>
                    <xdr:colOff>0</xdr:colOff>
                    <xdr:row>21</xdr:row>
                    <xdr:rowOff>0</xdr:rowOff>
                  </from>
                  <to>
                    <xdr:col>12</xdr:col>
                    <xdr:colOff>190500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4" r:id="rId28" name="Group Box 610">
              <controlPr defaultSize="0" autoFill="0" autoPict="0" macro="[0]!Box4An">
                <anchor moveWithCells="1">
                  <from>
                    <xdr:col>9</xdr:col>
                    <xdr:colOff>0</xdr:colOff>
                    <xdr:row>21</xdr:row>
                    <xdr:rowOff>190500</xdr:rowOff>
                  </from>
                  <to>
                    <xdr:col>12</xdr:col>
                    <xdr:colOff>28575</xdr:colOff>
                    <xdr:row>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5" r:id="rId29" name="Group Box 611">
              <controlPr defaultSize="0" autoFill="0" autoPict="0" macro="[0]!Box4An">
                <anchor moveWithCells="1">
                  <from>
                    <xdr:col>9</xdr:col>
                    <xdr:colOff>0</xdr:colOff>
                    <xdr:row>21</xdr:row>
                    <xdr:rowOff>190500</xdr:rowOff>
                  </from>
                  <to>
                    <xdr:col>12</xdr:col>
                    <xdr:colOff>190500</xdr:colOff>
                    <xdr:row>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" r:id="rId30" name="Group Box 614">
              <controlPr locked="0" defaultSize="0" print="0" autoFill="0" autoPict="0" macro="[0]!Box1An" altText="GroupBauernhaus">
                <anchor moveWithCells="1">
                  <from>
                    <xdr:col>6</xdr:col>
                    <xdr:colOff>466725</xdr:colOff>
                    <xdr:row>13</xdr:row>
                    <xdr:rowOff>9525</xdr:rowOff>
                  </from>
                  <to>
                    <xdr:col>11</xdr:col>
                    <xdr:colOff>485775</xdr:colOff>
                    <xdr:row>14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" r:id="rId31" name="Group Box 615">
              <controlPr defaultSize="0" autoFill="0" autoPict="0" macro="[0]!Box3An">
                <anchor moveWithCells="1">
                  <from>
                    <xdr:col>6</xdr:col>
                    <xdr:colOff>457200</xdr:colOff>
                    <xdr:row>13</xdr:row>
                    <xdr:rowOff>9525</xdr:rowOff>
                  </from>
                  <to>
                    <xdr:col>11</xdr:col>
                    <xdr:colOff>485775</xdr:colOff>
                    <xdr:row>14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" r:id="rId32" name="Group Box 616">
              <controlPr locked="0" defaultSize="0" print="0" autoFill="0" autoPict="0" macro="[0]!Box1An" altText="GroupBauernhaus">
                <anchor moveWithCells="1">
                  <from>
                    <xdr:col>6</xdr:col>
                    <xdr:colOff>466725</xdr:colOff>
                    <xdr:row>14</xdr:row>
                    <xdr:rowOff>38100</xdr:rowOff>
                  </from>
                  <to>
                    <xdr:col>11</xdr:col>
                    <xdr:colOff>485775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" r:id="rId33" name="Group Box 617">
              <controlPr defaultSize="0" autoFill="0" autoPict="0" macro="[0]!Box3An">
                <anchor moveWithCells="1">
                  <from>
                    <xdr:col>6</xdr:col>
                    <xdr:colOff>457200</xdr:colOff>
                    <xdr:row>14</xdr:row>
                    <xdr:rowOff>38100</xdr:rowOff>
                  </from>
                  <to>
                    <xdr:col>11</xdr:col>
                    <xdr:colOff>485775</xdr:colOff>
                    <xdr:row>16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Tabelle2!$D$1:$D$5</xm:f>
          </x14:formula1>
          <xm:sqref>H13:L15</xm:sqref>
        </x14:dataValidation>
        <x14:dataValidation type="list" allowBlank="1" showInputMessage="1" showErrorMessage="1">
          <x14:formula1>
            <xm:f>Tabelle2!$H$1:$H$2</xm:f>
          </x14:formula1>
          <xm:sqref>J18:L22</xm:sqref>
        </x14:dataValidation>
        <x14:dataValidation type="list" allowBlank="1" showInputMessage="1" showErrorMessage="1">
          <x14:formula1>
            <xm:f>Tabelle2!$K$1:$K$2</xm:f>
          </x14:formula1>
          <xm:sqref>F114:F119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M5"/>
  <sheetViews>
    <sheetView workbookViewId="0">
      <selection activeCell="L19" sqref="L19"/>
    </sheetView>
  </sheetViews>
  <sheetFormatPr baseColWidth="10" defaultColWidth="11.42578125" defaultRowHeight="12.75" x14ac:dyDescent="0.2"/>
  <cols>
    <col min="1" max="16384" width="11.42578125" style="41"/>
  </cols>
  <sheetData>
    <row r="1" spans="1:13" x14ac:dyDescent="0.2">
      <c r="A1" s="41">
        <v>4</v>
      </c>
      <c r="D1" s="34" t="s">
        <v>152</v>
      </c>
      <c r="H1" s="39" t="s">
        <v>156</v>
      </c>
      <c r="K1" s="122" t="s">
        <v>174</v>
      </c>
      <c r="M1" s="257">
        <v>1</v>
      </c>
    </row>
    <row r="2" spans="1:13" x14ac:dyDescent="0.2">
      <c r="A2" s="41">
        <v>4.5</v>
      </c>
      <c r="D2" s="40" t="s">
        <v>82</v>
      </c>
      <c r="H2" s="39" t="s">
        <v>157</v>
      </c>
      <c r="K2" s="122" t="s">
        <v>175</v>
      </c>
      <c r="M2" s="257">
        <v>1.5</v>
      </c>
    </row>
    <row r="3" spans="1:13" x14ac:dyDescent="0.2">
      <c r="A3" s="41">
        <v>5</v>
      </c>
      <c r="D3" s="34" t="s">
        <v>81</v>
      </c>
      <c r="H3" s="39"/>
      <c r="M3" s="257">
        <v>2</v>
      </c>
    </row>
    <row r="4" spans="1:13" x14ac:dyDescent="0.2">
      <c r="A4" s="41">
        <v>5.5</v>
      </c>
      <c r="D4" s="34" t="s">
        <v>153</v>
      </c>
      <c r="M4" s="257">
        <v>2.5</v>
      </c>
    </row>
    <row r="5" spans="1:13" x14ac:dyDescent="0.2">
      <c r="A5" s="41">
        <v>6</v>
      </c>
      <c r="D5" s="34" t="s">
        <v>154</v>
      </c>
      <c r="M5" s="257">
        <v>3</v>
      </c>
    </row>
  </sheetData>
  <customSheetViews>
    <customSheetView guid="{89661B01-CAAB-482C-82D9-4F70D9977123}" showRuler="0">
      <selection sqref="A1:A5"/>
      <pageMargins left="0.78740157499999996" right="0.78740157499999996" top="0.984251969" bottom="0.984251969" header="0.4921259845" footer="0.4921259845"/>
      <headerFooter alignWithMargins="0"/>
    </customSheetView>
  </customSheetView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Tabelle1</vt:lpstr>
      <vt:lpstr>Tabelle2</vt:lpstr>
      <vt:lpstr>Tabelle1!Druckbereich</vt:lpstr>
      <vt:lpstr>Lagerdauer</vt:lpstr>
    </vt:vector>
  </TitlesOfParts>
  <Company>Kanton Bern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Markus Carisch</dc:creator>
  <cp:lastModifiedBy>Roth Martin, BVD-AWA-SWW-GE</cp:lastModifiedBy>
  <cp:lastPrinted>2021-03-23T13:38:16Z</cp:lastPrinted>
  <dcterms:created xsi:type="dcterms:W3CDTF">2011-02-15T06:51:45Z</dcterms:created>
  <dcterms:modified xsi:type="dcterms:W3CDTF">2021-03-25T12:17:01Z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